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4355" windowHeight="5580" activeTab="3"/>
  </bookViews>
  <sheets>
    <sheet name="Summary" sheetId="4" r:id="rId1"/>
    <sheet name="6k input tpa" sheetId="1" r:id="rId2"/>
    <sheet name="25k input tpa" sheetId="2" r:id="rId3"/>
    <sheet name="50k input tpa" sheetId="3" r:id="rId4"/>
    <sheet name="Independent sampling" sheetId="5" r:id="rId5"/>
  </sheets>
  <calcPr calcId="145621"/>
</workbook>
</file>

<file path=xl/calcChain.xml><?xml version="1.0" encoding="utf-8"?>
<calcChain xmlns="http://schemas.openxmlformats.org/spreadsheetml/2006/main">
  <c r="F119" i="5" l="1"/>
  <c r="P116" i="5"/>
  <c r="P115" i="5"/>
  <c r="P114" i="5"/>
  <c r="P102" i="5"/>
  <c r="P101" i="5"/>
  <c r="P91" i="5"/>
  <c r="P92" i="5"/>
  <c r="P90" i="5"/>
  <c r="P51" i="5"/>
  <c r="P46" i="5"/>
  <c r="P40" i="5"/>
  <c r="P39" i="5"/>
  <c r="P38" i="5"/>
  <c r="P45" i="5"/>
  <c r="P52" i="5" s="1"/>
  <c r="P77" i="5"/>
  <c r="P75" i="5"/>
  <c r="P71" i="5"/>
  <c r="P31" i="5"/>
  <c r="P28" i="5"/>
  <c r="P27" i="5"/>
  <c r="P26" i="5"/>
  <c r="P93" i="5" l="1"/>
  <c r="P117" i="5"/>
  <c r="P43" i="5"/>
  <c r="P49" i="5" s="1"/>
  <c r="P83" i="5"/>
  <c r="K46" i="3"/>
  <c r="K45" i="3"/>
  <c r="K44" i="3"/>
  <c r="K43" i="3"/>
  <c r="K46" i="2"/>
  <c r="K45" i="2"/>
  <c r="K44" i="2"/>
  <c r="K43" i="2"/>
  <c r="K46" i="1"/>
  <c r="K45" i="1"/>
  <c r="K44" i="1"/>
  <c r="K43" i="1"/>
  <c r="J43" i="2"/>
  <c r="J43" i="1"/>
  <c r="P103" i="5" l="1"/>
  <c r="P104" i="5"/>
  <c r="P53" i="5"/>
  <c r="P54" i="5"/>
  <c r="J43" i="3"/>
  <c r="F31" i="3"/>
  <c r="E31" i="3"/>
  <c r="F28" i="3"/>
  <c r="E28" i="3"/>
  <c r="F31" i="2"/>
  <c r="E31" i="2"/>
  <c r="F28" i="2"/>
  <c r="E28" i="2"/>
  <c r="F31" i="1"/>
  <c r="E31" i="1"/>
  <c r="E28" i="1"/>
  <c r="F28" i="1"/>
  <c r="C69" i="1" l="1"/>
  <c r="C68" i="1"/>
  <c r="C67" i="1"/>
  <c r="C66" i="1"/>
  <c r="C65" i="1"/>
  <c r="C72" i="1" l="1"/>
  <c r="F46" i="3"/>
  <c r="E46" i="3"/>
  <c r="F44" i="3"/>
  <c r="E44" i="3"/>
  <c r="M46" i="3"/>
  <c r="M45" i="3"/>
  <c r="M44" i="3"/>
  <c r="M43" i="3"/>
  <c r="J46" i="3"/>
  <c r="L46" i="3" s="1"/>
  <c r="E36" i="3"/>
  <c r="F30" i="3"/>
  <c r="E30" i="3"/>
  <c r="F27" i="3"/>
  <c r="E27" i="3"/>
  <c r="M44" i="1"/>
  <c r="M45" i="1"/>
  <c r="J46" i="2"/>
  <c r="M46" i="1"/>
  <c r="M43" i="1"/>
  <c r="L43" i="1"/>
  <c r="J45" i="1"/>
  <c r="L45" i="1" s="1"/>
  <c r="J46" i="1"/>
  <c r="L46" i="1" s="1"/>
  <c r="J44" i="1"/>
  <c r="L44" i="1" s="1"/>
  <c r="F43" i="3" l="1"/>
  <c r="E43" i="3"/>
  <c r="L43" i="3"/>
  <c r="J44" i="3"/>
  <c r="L44" i="3" s="1"/>
  <c r="J45" i="3"/>
  <c r="L45" i="3" s="1"/>
  <c r="M45" i="2"/>
  <c r="L46" i="2"/>
  <c r="L43" i="2"/>
  <c r="J44" i="2"/>
  <c r="J45" i="2"/>
  <c r="M43" i="2"/>
  <c r="M46" i="2"/>
  <c r="F46" i="1"/>
  <c r="P46" i="1" s="1"/>
  <c r="E46" i="1"/>
  <c r="F44" i="1"/>
  <c r="E44" i="1"/>
  <c r="O44" i="1" s="1"/>
  <c r="D7" i="4" s="1"/>
  <c r="F46" i="2"/>
  <c r="E46" i="2"/>
  <c r="O46" i="2" s="1"/>
  <c r="F9" i="4" s="1"/>
  <c r="F44" i="2"/>
  <c r="E44" i="2"/>
  <c r="O44" i="2" s="1"/>
  <c r="F7" i="4" s="1"/>
  <c r="H46" i="1"/>
  <c r="E36" i="1"/>
  <c r="E36" i="2"/>
  <c r="F30" i="2"/>
  <c r="E30" i="2"/>
  <c r="F27" i="2"/>
  <c r="E27" i="2"/>
  <c r="F30" i="1"/>
  <c r="E30" i="1"/>
  <c r="F27" i="1"/>
  <c r="E27" i="1"/>
  <c r="G44" i="2" l="1"/>
  <c r="H44" i="2"/>
  <c r="P44" i="2"/>
  <c r="F16" i="4" s="1"/>
  <c r="H46" i="2"/>
  <c r="P46" i="2"/>
  <c r="Q46" i="2"/>
  <c r="G9" i="4" s="1"/>
  <c r="G46" i="2"/>
  <c r="G44" i="1"/>
  <c r="D18" i="4"/>
  <c r="R46" i="1"/>
  <c r="E18" i="4" s="1"/>
  <c r="H44" i="1"/>
  <c r="P44" i="1"/>
  <c r="Q44" i="1"/>
  <c r="E7" i="4" s="1"/>
  <c r="G46" i="1"/>
  <c r="O46" i="1"/>
  <c r="O43" i="3"/>
  <c r="G43" i="3"/>
  <c r="O46" i="3"/>
  <c r="G46" i="3"/>
  <c r="F45" i="3"/>
  <c r="P44" i="3"/>
  <c r="H44" i="3"/>
  <c r="E45" i="3"/>
  <c r="O44" i="3"/>
  <c r="G44" i="3"/>
  <c r="P43" i="3"/>
  <c r="H43" i="3"/>
  <c r="P46" i="3"/>
  <c r="H46" i="3"/>
  <c r="M44" i="2"/>
  <c r="Q44" i="2"/>
  <c r="G7" i="4" s="1"/>
  <c r="L44" i="2"/>
  <c r="L45" i="2"/>
  <c r="F43" i="2"/>
  <c r="E43" i="2"/>
  <c r="F43" i="1"/>
  <c r="E43" i="1"/>
  <c r="R44" i="2" l="1"/>
  <c r="G16" i="4" s="1"/>
  <c r="R46" i="3"/>
  <c r="I18" i="4" s="1"/>
  <c r="H18" i="4"/>
  <c r="R43" i="3"/>
  <c r="I15" i="4" s="1"/>
  <c r="H15" i="4"/>
  <c r="R44" i="3"/>
  <c r="I16" i="4" s="1"/>
  <c r="H16" i="4"/>
  <c r="Q44" i="3"/>
  <c r="I7" i="4" s="1"/>
  <c r="H7" i="4"/>
  <c r="Q46" i="3"/>
  <c r="I9" i="4" s="1"/>
  <c r="H9" i="4"/>
  <c r="Q43" i="3"/>
  <c r="I6" i="4" s="1"/>
  <c r="H6" i="4"/>
  <c r="P43" i="2"/>
  <c r="H43" i="2"/>
  <c r="R46" i="2"/>
  <c r="G18" i="4" s="1"/>
  <c r="F18" i="4"/>
  <c r="O43" i="2"/>
  <c r="G43" i="2"/>
  <c r="P43" i="1"/>
  <c r="H43" i="1"/>
  <c r="D16" i="4"/>
  <c r="R44" i="1"/>
  <c r="E16" i="4" s="1"/>
  <c r="D9" i="4"/>
  <c r="Q46" i="1"/>
  <c r="E9" i="4" s="1"/>
  <c r="O43" i="1"/>
  <c r="G43" i="1"/>
  <c r="O45" i="3"/>
  <c r="G45" i="3"/>
  <c r="P45" i="3"/>
  <c r="H45" i="3"/>
  <c r="F45" i="2"/>
  <c r="E45" i="2"/>
  <c r="E45" i="1"/>
  <c r="F45" i="1"/>
  <c r="R45" i="3" l="1"/>
  <c r="I17" i="4" s="1"/>
  <c r="H17" i="4"/>
  <c r="Q45" i="3"/>
  <c r="I8" i="4" s="1"/>
  <c r="H8" i="4"/>
  <c r="H45" i="2"/>
  <c r="P45" i="2"/>
  <c r="F15" i="4"/>
  <c r="R43" i="2"/>
  <c r="G15" i="4" s="1"/>
  <c r="G45" i="2"/>
  <c r="O45" i="2"/>
  <c r="F6" i="4"/>
  <c r="Q43" i="2"/>
  <c r="G6" i="4" s="1"/>
  <c r="H45" i="1"/>
  <c r="P45" i="1"/>
  <c r="D15" i="4"/>
  <c r="R43" i="1"/>
  <c r="E15" i="4" s="1"/>
  <c r="G45" i="1"/>
  <c r="O45" i="1"/>
  <c r="D6" i="4"/>
  <c r="Q43" i="1"/>
  <c r="E6" i="4" s="1"/>
  <c r="F17" i="4" l="1"/>
  <c r="R45" i="2"/>
  <c r="G17" i="4" s="1"/>
  <c r="F8" i="4"/>
  <c r="Q45" i="2"/>
  <c r="G8" i="4" s="1"/>
  <c r="D17" i="4"/>
  <c r="R45" i="1"/>
  <c r="E17" i="4" s="1"/>
  <c r="D8" i="4"/>
  <c r="Q45" i="1"/>
  <c r="E8" i="4" s="1"/>
</calcChain>
</file>

<file path=xl/sharedStrings.xml><?xml version="1.0" encoding="utf-8"?>
<sst xmlns="http://schemas.openxmlformats.org/spreadsheetml/2006/main" count="618" uniqueCount="199">
  <si>
    <t>Parameter</t>
  </si>
  <si>
    <t>Compost</t>
  </si>
  <si>
    <t>Digestate</t>
  </si>
  <si>
    <t>£ excl VAT</t>
  </si>
  <si>
    <t>Euros excl tax</t>
  </si>
  <si>
    <t>Organic matter</t>
  </si>
  <si>
    <t>Alkaline effective matter</t>
  </si>
  <si>
    <t>Total nitrogen</t>
  </si>
  <si>
    <t>Grain size (particle size)</t>
  </si>
  <si>
    <t>N/A</t>
  </si>
  <si>
    <t>Total potassium</t>
  </si>
  <si>
    <t>Total phosphorus</t>
  </si>
  <si>
    <t>Total magnesium</t>
  </si>
  <si>
    <t>Germinable seeds and propagules</t>
  </si>
  <si>
    <t>Bulk density</t>
  </si>
  <si>
    <t>pH</t>
  </si>
  <si>
    <t>Electrical conductivity</t>
  </si>
  <si>
    <t>Total sulphur</t>
  </si>
  <si>
    <t>Dry matter content</t>
  </si>
  <si>
    <t>Mineralisable nitrogen (NO3-N, NH4-N)</t>
  </si>
  <si>
    <t>Y</t>
  </si>
  <si>
    <t>N</t>
  </si>
  <si>
    <t>Macroscopic impurities</t>
  </si>
  <si>
    <t>E. coli</t>
  </si>
  <si>
    <r>
      <rPr>
        <i/>
        <sz val="11"/>
        <color theme="1"/>
        <rFont val="Calibri"/>
        <family val="2"/>
        <scheme val="minor"/>
      </rPr>
      <t>Salmonella</t>
    </r>
    <r>
      <rPr>
        <sz val="11"/>
        <color theme="1"/>
        <rFont val="Calibri"/>
        <family val="2"/>
        <scheme val="minor"/>
      </rPr>
      <t xml:space="preserve"> spp</t>
    </r>
  </si>
  <si>
    <t>PAH16</t>
  </si>
  <si>
    <t>PCB7</t>
  </si>
  <si>
    <t>PCDD/F</t>
  </si>
  <si>
    <t>PFC</t>
  </si>
  <si>
    <t>Lab test fee</t>
  </si>
  <si>
    <t>PTEs (Cr, Cu, Ni, Pb, Hg, Ni, Zn)</t>
  </si>
  <si>
    <t>included in Total P fee</t>
  </si>
  <si>
    <t>TOTAL (in £ excl VAT)</t>
  </si>
  <si>
    <t>TOTAL (in euros excl tax)</t>
  </si>
  <si>
    <t>Number of samples calculation</t>
  </si>
  <si>
    <t>Rounded up as per instruction</t>
  </si>
  <si>
    <t>Total cost of all organic pollutant tests</t>
  </si>
  <si>
    <t>Euros excl VAT</t>
  </si>
  <si>
    <t>equals (input tonnes per annum/10,000)+1, rounded up to the next whole number</t>
  </si>
  <si>
    <t>Input tonnes per annum</t>
  </si>
  <si>
    <t>Each year after the recognition year:</t>
  </si>
  <si>
    <t>Estimating laboratory costs that composters and AD operators will incurr according to EU EoW 3rd draft working document proposals</t>
  </si>
  <si>
    <r>
      <t xml:space="preserve">per </t>
    </r>
    <r>
      <rPr>
        <sz val="11"/>
        <color rgb="FFFF0000"/>
        <rFont val="Calibri"/>
        <family val="2"/>
        <scheme val="minor"/>
      </rPr>
      <t xml:space="preserve">compost </t>
    </r>
    <r>
      <rPr>
        <sz val="11"/>
        <color theme="1"/>
        <rFont val="Calibri"/>
        <family val="2"/>
        <scheme val="minor"/>
      </rPr>
      <t>sample</t>
    </r>
  </si>
  <si>
    <r>
      <t xml:space="preserve">per </t>
    </r>
    <r>
      <rPr>
        <sz val="11"/>
        <color rgb="FFFF0000"/>
        <rFont val="Calibri"/>
        <family val="2"/>
        <scheme val="minor"/>
      </rPr>
      <t>digestate</t>
    </r>
    <r>
      <rPr>
        <sz val="11"/>
        <color theme="1"/>
        <rFont val="Calibri"/>
        <family val="2"/>
        <scheme val="minor"/>
      </rPr>
      <t xml:space="preserve"> sample</t>
    </r>
  </si>
  <si>
    <r>
      <t xml:space="preserve">This approach (testing one pooled sample in terms of all OPs) can be maintained as long as the results from the pool sample indicate that all organic pollutant concentrations are below the limit values, taking into account the earlier established 95 % confidence intervals.  </t>
    </r>
    <r>
      <rPr>
        <sz val="11"/>
        <color rgb="FFFF0000"/>
        <rFont val="Calibri"/>
        <family val="2"/>
        <scheme val="minor"/>
      </rPr>
      <t>If this is no longer the case, the measurement frequency for the organic pollutants will be reset to the measurement frequency of the recognition year.</t>
    </r>
  </si>
  <si>
    <t>Laboratory fee estimates per year</t>
  </si>
  <si>
    <t xml:space="preserve">Recognition year: </t>
  </si>
  <si>
    <t>Plants for which organic pollutant concentrations are all below the maximum values in the recognition year (at 95% confidence level), may be exempted from regular organic pollutant measurement requirements after the recognition year, except for at least 1 full analysis on a cumulative sample, called pool sample.  The exemption only applies if all 4 organic pollutant criteria (PAH, PCB, PCDD/F and PFC) meet this requirement.</t>
  </si>
  <si>
    <t>In order to be exempted from the regular measurement of organic pollutants from the year following the recognition year, the probability that the mean value of the concentration of all organic pollutants in a sample exceeds the legal limit should be less than 5 %.  This implies that the mean concentration of the whole population of the compost/digestate sold plus the  95 % confidence interval needs to be below the legal limit.</t>
  </si>
  <si>
    <t>N.B.: Lab organic pollutant fees above are those from one lab in the UK.  A second lab responded, for which its total OP tests fee per sample was £750 excl VAT (euros 645.75, excl tax)</t>
  </si>
  <si>
    <t>Year 1</t>
  </si>
  <si>
    <t>Year 2 - Scenario A</t>
  </si>
  <si>
    <t>Year 2 - Scenario B</t>
  </si>
  <si>
    <t>Year 3 - where year 2 was scenario B</t>
  </si>
  <si>
    <t>Recognition year (validation, min of 4 samples undergo all tests)</t>
  </si>
  <si>
    <t>Composting: cost per input tonne</t>
  </si>
  <si>
    <t>Digestion: cost per input tonne</t>
  </si>
  <si>
    <t>Excerpts from EU EoW 3rd draft working document</t>
  </si>
  <si>
    <t>Note: this worksheet will not entirely auto-update if the input tonnes per annum figure is changed.</t>
  </si>
  <si>
    <t>4 samples undergo non-OP tests, pool sample undergoes OP tests but results exceed one OP limit.  Triggers testing 4 samples for OPs in the next year, according to 3rd working draft's text.</t>
  </si>
  <si>
    <t>** Extra sample organic pollutant testing should begin soon after the pooled sample exceeds any OP limit.  Not starting extra sample organic pollutant testing until the next year is not good practice when operating a Quality Management System.</t>
  </si>
  <si>
    <t>2 samples undergo non-OP tests, pool sample undergoes OP tests but results exceed one OP limit.  Triggers testing 4 samples for OPs in the next year, according to 3rd working draft's text.</t>
  </si>
  <si>
    <t>Certification fees per year</t>
  </si>
  <si>
    <t>Composting</t>
  </si>
  <si>
    <t>Digestion</t>
  </si>
  <si>
    <t>Composting *</t>
  </si>
  <si>
    <t>Digestion **</t>
  </si>
  <si>
    <t>** Same as for * but both CBs offer 50 % discounts for first two years.</t>
  </si>
  <si>
    <t>Lab test and certification fees per year</t>
  </si>
  <si>
    <r>
      <t xml:space="preserve">6 samples undergo non-OP tests, 4 samples undergo OP tests. By end of year 3, for each OP, mean+Confidence Interval calculated from </t>
    </r>
    <r>
      <rPr>
        <u/>
        <sz val="10"/>
        <rFont val="Arial"/>
        <family val="2"/>
      </rPr>
      <t>all</t>
    </r>
    <r>
      <rPr>
        <sz val="10"/>
        <rFont val="Arial"/>
        <family val="2"/>
      </rPr>
      <t xml:space="preserve"> [9] samples OP-tested does not exceed the corresponding OP limit.</t>
    </r>
  </si>
  <si>
    <r>
      <t xml:space="preserve">4 samples undergo non-OP tests, 4 samples undergo OP tests. By end of year 3, for each OP, mean+Confidence Interval calculated from </t>
    </r>
    <r>
      <rPr>
        <u/>
        <sz val="10"/>
        <rFont val="Arial"/>
        <family val="2"/>
      </rPr>
      <t>all</t>
    </r>
    <r>
      <rPr>
        <sz val="10"/>
        <rFont val="Arial"/>
        <family val="2"/>
      </rPr>
      <t xml:space="preserve"> [9] samples OP-tested does not exceed the corresponding OP limit.</t>
    </r>
  </si>
  <si>
    <t>6,000 input tonnes per annum</t>
  </si>
  <si>
    <t>25,000 input tonnes per annum</t>
  </si>
  <si>
    <t>50,000 input tonnes per annum</t>
  </si>
  <si>
    <t>SUMMARY WORKSHEET</t>
  </si>
  <si>
    <t>Samples tested as per description in relevant worksheet</t>
  </si>
  <si>
    <t>6 samples undergo non-OP tests, pool sample undergoes OP tests but results exceed one OP limit.  Triggers testing 4 samples for OPs in the next year, according to 3rd working draft's text.</t>
  </si>
  <si>
    <t>Cost per input tonne</t>
  </si>
  <si>
    <t>DIGESTION: Lab test and certification fees per year</t>
  </si>
  <si>
    <t>COMPOSTING: Lab test and certification fees per year</t>
  </si>
  <si>
    <t>Cost per process</t>
  </si>
  <si>
    <r>
      <t xml:space="preserve">2 samples undergo non-OP tests, 4 samples undergo OP tests. By end of year 3, for each OP, mean+Confidence Interval calculated from </t>
    </r>
    <r>
      <rPr>
        <u/>
        <sz val="10"/>
        <rFont val="Arial"/>
        <family val="2"/>
      </rPr>
      <t>all</t>
    </r>
    <r>
      <rPr>
        <sz val="10"/>
        <rFont val="Arial"/>
        <family val="2"/>
      </rPr>
      <t xml:space="preserve"> [8] samples OP-tested does not exceed the corresponding OP limit.</t>
    </r>
  </si>
  <si>
    <t>* 2 samples undergo non-OP 'limit' and 'declaration' tests. One pooled sample undergoes OP tests.  For each OP, mean+Confidence Interval calculated from all samples tested to date does not exceed any of the OP limits.  Pooled sample does not exceed any of the OP limits, taking account of earlier established 95 % confidence intervals.</t>
  </si>
  <si>
    <t>2 samples undergo non-OP tests, one pooled sample undergoes OP tests, no OP limit is exceeded by the pooled sample (check each OP parameter result + 95% CI)*</t>
  </si>
  <si>
    <t>4 samples undergo non-OP tests, one pooled sample undergoes OP tests, no OP limit is exceeded by the pooled sample (check each OP parameter result + 95% CI)*</t>
  </si>
  <si>
    <t>6 samples undergo non-OP tests, one pooled sample undergoes OP tests, no OP limit is exceeded by the pooled sample (check each OP parameter result + 95% CI)*</t>
  </si>
  <si>
    <t>* 4 samples undergo non-OP 'limit' and 'declaration' tests. One pooled sample undergoes OP tests.  For each OP, mean+Confidence Interval calculated from all samples tested to date does not exceed any of the OP limits.  Pooled sample does not exceed any of the OP limits, taking account of earlier established 95 % confidence intervals.</t>
  </si>
  <si>
    <t>* 6 samples undergo non-OP 'limit' and 'declaration' tests. One pooled sample undergoes OP tests.  For each OP, mean+Confidence Interval calculated from all samples tested to date does not exceed any of the OP limits.  Pooled sample does not exceed any of the OP limits, taking account of earlier established 95 % confidence intervals.</t>
  </si>
  <si>
    <t>Y1 sample 1</t>
  </si>
  <si>
    <t>Y1 sample 2</t>
  </si>
  <si>
    <t>Y1 sample 3</t>
  </si>
  <si>
    <t>Y1 sample 4</t>
  </si>
  <si>
    <t>Result</t>
  </si>
  <si>
    <t>Y2 pool sample</t>
  </si>
  <si>
    <t>Mean</t>
  </si>
  <si>
    <t>95 % CI assuming normal distribution</t>
  </si>
  <si>
    <t>Standard deviation</t>
  </si>
  <si>
    <t>Y2 pool sample + 95 % CI</t>
  </si>
  <si>
    <t>Significance level (alpha)</t>
  </si>
  <si>
    <t>(equivalent to 95 %)</t>
  </si>
  <si>
    <t>EU EoW Limit</t>
  </si>
  <si>
    <t>Pool sample result + 95 % CI under or over limit?</t>
  </si>
  <si>
    <t>Over limit</t>
  </si>
  <si>
    <t>Sample size (count)</t>
  </si>
  <si>
    <t>Perhaps should calculate including Y2 pool sample result?</t>
  </si>
  <si>
    <t>* Mean of fees charged by two certification bodies, as each one charges different fee.  50k input tpa is on a fee categories boundary, so have used lower fee category.</t>
  </si>
  <si>
    <t>* Mean of fees charged by two certification bodies, as each one charges different fee.  6k input tpa is on a fee categories boundary, so have used lower fee category.</t>
  </si>
  <si>
    <t>* Mean of fees charged by two certification bodies, as each one charges different fee.  25k input tpa is on a fee categories boundary for digestion scheme, so have used lower fee category.</t>
  </si>
  <si>
    <t>Independent sampling costs</t>
  </si>
  <si>
    <t>Compost Certification Scheme ~ UK</t>
  </si>
  <si>
    <t xml:space="preserve">Outline of our approach: </t>
  </si>
  <si>
    <t>per year, 10 % of composting processes with one or more certified compost grades are randomly selected for independent sampling</t>
  </si>
  <si>
    <t xml:space="preserve">per year, 5 % of composting processes with one or more certified compost grades are selected for independent sampling after 1) completion of an investigation (carried out by the certification body) of a complaint about compost quality or 2) after the producer has taken satisfactory corrective action in the event of a major non-compliance. </t>
  </si>
  <si>
    <t>composting process selection for independent sampling is carried out by the certification scheme owner, who has records of number of processes on the scheme and which ones have been linked with complaints about compost quality</t>
  </si>
  <si>
    <t>Requirements for confidence in independent sampling:</t>
  </si>
  <si>
    <t>necessary to give short notice of independent sampling visit to ensure composter has member of staff available who knows which batches are where on-site.</t>
  </si>
  <si>
    <t>for composting processes randomly selected, the independent sample is tested in terms of physical contaminants and stability</t>
  </si>
  <si>
    <t>for composting processes selected due to having had a major non-compliance or causing a complaint, the independent sample is tested in terms of physical contaminants, stability plus any other parameters of concern (which may be prompted by the certification body or complaint investigation in which the scheme owner was involved).</t>
  </si>
  <si>
    <t>Activity carried out by</t>
  </si>
  <si>
    <t>Activity description</t>
  </si>
  <si>
    <t>Hours</t>
  </si>
  <si>
    <t>Miles</t>
  </si>
  <si>
    <t>Cost (£GBP excl VAT)</t>
  </si>
  <si>
    <t>Cert scheme owner</t>
  </si>
  <si>
    <t>Composting process selection for independent sampling &amp; compile list to send to independent sample takers</t>
  </si>
  <si>
    <t>n/a</t>
  </si>
  <si>
    <t>Cost of process selection per selected process (18 processes likely to be selected in 2013, based on current scheme numbers)</t>
  </si>
  <si>
    <t>Notify independent sample taker of date chosen for visit (afternoon before the day of the visit)</t>
  </si>
  <si>
    <t>Admin after independent sampling visit (receive independent sample takers' invoice, check &amp; arrange payment)</t>
  </si>
  <si>
    <t>Indep. sample taker</t>
  </si>
  <si>
    <t>Time (preparation, at composting site, follow-up admin)</t>
  </si>
  <si>
    <t>Travel expenses (usually mileage, at £0.45 per mile)</t>
  </si>
  <si>
    <t>Food &amp; drink expenses</t>
  </si>
  <si>
    <t>Accommodation expense (up to £62.50 excl VAT per night, but not often requiring an overnight stay)</t>
  </si>
  <si>
    <t>Arrange sample postage / courier (usually at composting site, during indep sampling visit)</t>
  </si>
  <si>
    <t>included above</t>
  </si>
  <si>
    <t>Compost producer</t>
  </si>
  <si>
    <t>Postage / courier expense (usually paid by compost producer, if paid by scheme owner cost approx. £25 excl VAT)</t>
  </si>
  <si>
    <t>Check test results of independent sample &amp; compare with compost grade's test results history</t>
  </si>
  <si>
    <t>Cost incurred by scheme owner per independent sampling visit/check</t>
  </si>
  <si>
    <t>Cost incurred by certification body (does not charge extra in event of non-compliance unless spot checks visit is triggered)</t>
  </si>
  <si>
    <t>Total cost to scheme owner per year</t>
  </si>
  <si>
    <t>Total cost to certification bodies per year</t>
  </si>
  <si>
    <t>Total cost to compost producers (samples taken within 1 week of batches completing their minimum production timescale)</t>
  </si>
  <si>
    <t>Total cost</t>
  </si>
  <si>
    <t>EU EoW ~ assuming requires every sample to be independently taken</t>
  </si>
  <si>
    <t>Costs per sampling visit (assuming one batch sampled).</t>
  </si>
  <si>
    <t>All test results are checked by certification body, as part of compliance assessment, so no additional cost for CB assessment included below.</t>
  </si>
  <si>
    <t>Approved laboratory</t>
  </si>
  <si>
    <t>Time (admin and addition of independent sampling cost to invoice sent to producer)</t>
  </si>
  <si>
    <t>Travel expenses below do not assume a shorter distance travelled because we assume that the effect of EU EoW criteria will reduce rather than increase the number of approved laboratories in the UK and that the number of independent sample takers will not become larger than the number we already use.</t>
  </si>
  <si>
    <t>Postage / courier expense (assume paid for by compost producer, invoiced by lab or courier)</t>
  </si>
  <si>
    <r>
      <t xml:space="preserve">Cost incurred by compost producer </t>
    </r>
    <r>
      <rPr>
        <sz val="11"/>
        <color theme="1"/>
        <rFont val="Calibri"/>
        <family val="2"/>
        <scheme val="minor"/>
      </rPr>
      <t>(batch is sampled within 1 week of completing it's minimum production timescale - test results are allowed to be used as part of evidence associated with minimum frequency of batch sampling required by EoW)</t>
    </r>
  </si>
  <si>
    <t>Check finds that independent sample fails to comply with any quality criteria - communicate with certification body (who follows up as per non-compliance procedures, as part of renewal assessment that producer pays for)</t>
  </si>
  <si>
    <t>Check finds that independent sample passes tests but results are notably different from compost grade's test results history (scheme owner decides and communicates whether extra batch sampling for testing is required)</t>
  </si>
  <si>
    <t xml:space="preserve">if the independent sample's test results are notably different from the test results history for the compost grade sampled, that compost grade will be independently sampled one or more further times at later date(s). </t>
  </si>
  <si>
    <t xml:space="preserve">if the independent sample's test results do not comply with any EoW quality criteria, the certification body is notified that the producer must investigate the cause and carry out sufficient sampling and testing of extra batches of production. </t>
  </si>
  <si>
    <t>N.B.:  IF EU EoW system requires independent sampling to check E. coli, Salmonella, stability, weed seeds/propagules and plant response, the age of the batch at the time of independent sampling is important.  Producer site storage conditions, duration in storage, and risk of cross contamination (e.g. wind blown weed seeds and muckspreading near to the storage pile) can affect pathogen &amp; weeds results.   For stability and plant response, the longer a batch is stored for, the more likely it is to comply with the EoW quality criteria.   If a batch is independently sampled greater than one week after the minimum production timescale, we do not allow its test results to count as part of the evidence arising from the minimum sampling frequency required in EoW criteria.</t>
  </si>
  <si>
    <t>Independent sample takers:</t>
  </si>
  <si>
    <t>Independent sample takers trained by certification scheme owner, 4 people selected and trained to date</t>
  </si>
  <si>
    <t>Scheme owner has contracted two consultancy companies (experienced in composting sector) to provide indpendent sampling services</t>
  </si>
  <si>
    <t>Costs per sampling visit (assuming one batch sampled)</t>
  </si>
  <si>
    <r>
      <t>Cost incurred by certification body</t>
    </r>
    <r>
      <rPr>
        <sz val="11"/>
        <color theme="1"/>
        <rFont val="Calibri"/>
        <family val="2"/>
        <scheme val="minor"/>
      </rPr>
      <t xml:space="preserve"> (does not charge extra in event of non-compliance unless spot checks visit is triggered)</t>
    </r>
  </si>
  <si>
    <r>
      <t>Cost incurred by compost producer</t>
    </r>
    <r>
      <rPr>
        <sz val="11"/>
        <color theme="1"/>
        <rFont val="Calibri"/>
        <family val="2"/>
        <scheme val="minor"/>
      </rPr>
      <t xml:space="preserve"> (batch sampled is older than 1 week since completing its minimum production timescale - test results are not allowed to be used as part of evidence associated with minimum frequency of batch sampling required by EoW.  Cost to producer is for lab tests on 'extra sampled batch', in this costing have assumed, conservatively, that only stability and physical contaminant tests are carried out)</t>
    </r>
  </si>
  <si>
    <t>N.B.: Lab organic pollutant fees above are those from one lab in the UK.  A second lab responded, for which its total OP tests fee per sample was £750 excl VAT (euros 645.75, excl tax).</t>
  </si>
  <si>
    <t>Cost of stability tests for composts and digestates have not been included, as were not included in EoW quality criteria in 3rd working document.</t>
  </si>
  <si>
    <t>Total cost to certification bodies per year (does not charge extra in event of non-compliance unless spot checks visit is triggered)</t>
  </si>
  <si>
    <t>Scenario A</t>
  </si>
  <si>
    <t>OR Scenario B</t>
  </si>
  <si>
    <t>Total cost if all processes sampled are scenario A</t>
  </si>
  <si>
    <t>Total cost if all processes sampled are scenario B</t>
  </si>
  <si>
    <r>
      <rPr>
        <sz val="11"/>
        <color theme="1"/>
        <rFont val="Calibri"/>
        <family val="2"/>
        <scheme val="minor"/>
      </rPr>
      <t>Total cost to compost producers</t>
    </r>
    <r>
      <rPr>
        <b/>
        <sz val="11"/>
        <color theme="1"/>
        <rFont val="Calibri"/>
        <family val="2"/>
        <scheme val="minor"/>
      </rPr>
      <t xml:space="preserve"> </t>
    </r>
    <r>
      <rPr>
        <sz val="11"/>
        <color theme="1"/>
        <rFont val="Calibri"/>
        <family val="2"/>
        <scheme val="minor"/>
      </rPr>
      <t>(assuming all samples taken later than 1 week after batches complete their minimum production timescale, tested in terms of stability and physical contaminants only)</t>
    </r>
  </si>
  <si>
    <t>Total costs across scheme per year</t>
  </si>
  <si>
    <t>Arrange sample postage / courier / sample pick up by lab representative &amp; vehicle</t>
  </si>
  <si>
    <t>Sub-total costs per independent sampling visit &amp; associated checks</t>
  </si>
  <si>
    <t>Cost incurred by compost producer</t>
  </si>
  <si>
    <t>Costs of selecting, appointing and training indpendent sample takers were not included for UK EoW scheme above so neither have been included here (regarded more as a one-off cost although recognised that resourcing and training will require attention periodically)</t>
  </si>
  <si>
    <t>Assumptions</t>
  </si>
  <si>
    <t>Independent sample taking is carried out by a representative of an approved laboratory, which minimises admin and invoicing.  If independent sample takers are not approved lab representatives, costs associated with admin and invoicing will be higher.</t>
  </si>
  <si>
    <t>It is the producer's responsibility to notify the independent sample taker of when he/she must visit the process to take the sample, and that batch age when sampled will be appropriate.</t>
  </si>
  <si>
    <t>Total cost to compost producers operating 6k input tpa processes (minimum of 2 independently taken samples)</t>
  </si>
  <si>
    <t>Total cost to compost producers operating 25k input tpa processes (minimum of 4 independently taken samples)</t>
  </si>
  <si>
    <t>Total cost to compost producers operating 50k input tpa processes (minimum of 6 independently taken samples)</t>
  </si>
  <si>
    <t>Total cost to compost producers operating 6k input tpa processes (minimum of 4 independently taken samples)</t>
  </si>
  <si>
    <t>Total cost to compost producers operating 50k input tpa processes (minimum of 4 independently taken samples)</t>
  </si>
  <si>
    <t xml:space="preserve">Assumptions made about process scales: </t>
  </si>
  <si>
    <t>Comparing the current UK compost scheme approach with the possible EU EoW approach, whilst the latter is less expensive if the total number of processes participating in EU EoW is 18 (whether for recognition or renewal year), total costs by far exceed the UK approach IF we compare both regimes according to a total of 168 processes in renewal phase (the number of processes in renewal phase in UK).</t>
  </si>
  <si>
    <t>6 k input tpa processes</t>
  </si>
  <si>
    <t>25 k input tpa processes</t>
  </si>
  <si>
    <t>50 k input tpa processes</t>
  </si>
  <si>
    <t>Assumes only 18 composting processes participating in EU EoW, 4 of which process 6k input tpa, 10 of which process 25k input tpa and 4 of which process 50k input tpa.</t>
  </si>
  <si>
    <t>x</t>
  </si>
  <si>
    <t>times more expensive than the current UK approach (assuming all processes sampled are scenario B ref UK scheme)</t>
  </si>
  <si>
    <t>The EU EoW total cost is approx</t>
  </si>
  <si>
    <t>This slit of process scales is a rough estimate loosely based on the scale profile we have for UK EoW certification scheme, using the 6k, 25k and 50k tpa input thresholds used in the worksheets in this document.</t>
  </si>
  <si>
    <t>Total costs across scheme per renewal year (168 composting processes)</t>
  </si>
  <si>
    <t>Total costs across scheme for recognition year (18 composting processes)</t>
  </si>
  <si>
    <t>Total costs across scheme per renewal year (18 composting processes)</t>
  </si>
  <si>
    <t xml:space="preserve">It is important that independent sample takers understand composting and AD production sites, how they produce their EoW output(s) and where to take each independent sample from, otherwise they can be misled into taking unrepresentative and unsuitable samples.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</si>
</sst>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0"/>
      <name val="Arial"/>
      <family val="2"/>
    </font>
    <font>
      <b/>
      <sz val="10"/>
      <name val="Arial"/>
      <family val="2"/>
    </font>
    <font>
      <b/>
      <sz val="12"/>
      <color theme="1"/>
      <name val="Calibri"/>
      <family val="2"/>
      <scheme val="minor"/>
    </font>
    <font>
      <u/>
      <sz val="11"/>
      <color theme="1"/>
      <name val="Calibri"/>
      <family val="2"/>
      <scheme val="minor"/>
    </font>
    <font>
      <u/>
      <sz val="10"/>
      <name val="Arial"/>
      <family val="2"/>
    </font>
    <font>
      <sz val="11"/>
      <color theme="0" tint="-0.499984740745262"/>
      <name val="Calibri"/>
      <family val="2"/>
      <scheme val="minor"/>
    </font>
    <font>
      <b/>
      <u/>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3" fillId="0" borderId="0" xfId="0" applyFont="1" applyAlignment="1">
      <alignment horizontal="left"/>
    </xf>
    <xf numFmtId="0" fontId="0" fillId="0" borderId="1" xfId="0" applyBorder="1"/>
    <xf numFmtId="2" fontId="0" fillId="0" borderId="0" xfId="0" applyNumberFormat="1"/>
    <xf numFmtId="1" fontId="0" fillId="0" borderId="0" xfId="0" applyNumberFormat="1"/>
    <xf numFmtId="0" fontId="0" fillId="0" borderId="0" xfId="0" applyAlignment="1">
      <alignment horizontal="right"/>
    </xf>
    <xf numFmtId="0" fontId="0" fillId="0" borderId="2" xfId="0" applyBorder="1"/>
    <xf numFmtId="0" fontId="4" fillId="0" borderId="0" xfId="0" applyFont="1"/>
    <xf numFmtId="2" fontId="5" fillId="0" borderId="0" xfId="0" applyNumberFormat="1" applyFont="1"/>
    <xf numFmtId="0" fontId="4" fillId="0" borderId="0" xfId="0" applyFont="1" applyAlignment="1">
      <alignment wrapText="1"/>
    </xf>
    <xf numFmtId="0" fontId="2" fillId="0" borderId="0" xfId="0" applyFont="1"/>
    <xf numFmtId="0" fontId="0" fillId="0" borderId="0" xfId="0" applyAlignment="1">
      <alignment wrapText="1"/>
    </xf>
    <xf numFmtId="0" fontId="6" fillId="0" borderId="0" xfId="0" applyFont="1"/>
    <xf numFmtId="0" fontId="2" fillId="0" borderId="0" xfId="0" applyFont="1" applyAlignment="1">
      <alignment horizontal="right"/>
    </xf>
    <xf numFmtId="0" fontId="5" fillId="0" borderId="0" xfId="0" applyFont="1"/>
    <xf numFmtId="0" fontId="7" fillId="0" borderId="0" xfId="0" applyFont="1"/>
    <xf numFmtId="0" fontId="2" fillId="0" borderId="3" xfId="0" applyFont="1" applyBorder="1"/>
    <xf numFmtId="1" fontId="2" fillId="0" borderId="3" xfId="0" applyNumberFormat="1" applyFont="1" applyBorder="1"/>
    <xf numFmtId="0" fontId="2" fillId="0" borderId="0" xfId="0" applyFont="1" applyAlignment="1">
      <alignment horizontal="right" wrapText="1"/>
    </xf>
    <xf numFmtId="0" fontId="4" fillId="0" borderId="4" xfId="0" applyFont="1" applyBorder="1"/>
    <xf numFmtId="3" fontId="0" fillId="0" borderId="5" xfId="0" applyNumberFormat="1" applyBorder="1"/>
    <xf numFmtId="0" fontId="4" fillId="0" borderId="6" xfId="0" applyFont="1" applyBorder="1"/>
    <xf numFmtId="0" fontId="4" fillId="0" borderId="8" xfId="0" applyFont="1" applyBorder="1"/>
    <xf numFmtId="0" fontId="0" fillId="0" borderId="9" xfId="0" applyBorder="1"/>
    <xf numFmtId="0" fontId="4" fillId="0" borderId="0" xfId="0" applyFont="1" applyBorder="1"/>
    <xf numFmtId="0" fontId="0" fillId="0" borderId="0" xfId="0" applyBorder="1"/>
    <xf numFmtId="0" fontId="0" fillId="0" borderId="1" xfId="0" applyFont="1" applyBorder="1"/>
    <xf numFmtId="0" fontId="0" fillId="0" borderId="1" xfId="0" applyFont="1" applyBorder="1" applyAlignment="1">
      <alignment horizontal="right"/>
    </xf>
    <xf numFmtId="0" fontId="0" fillId="0" borderId="0" xfId="0" applyAlignment="1">
      <alignment vertical="top"/>
    </xf>
    <xf numFmtId="0" fontId="0" fillId="0" borderId="0" xfId="0" applyAlignment="1">
      <alignment vertical="top" wrapText="1"/>
    </xf>
    <xf numFmtId="2" fontId="0" fillId="0" borderId="7" xfId="0" applyNumberFormat="1" applyBorder="1"/>
    <xf numFmtId="0" fontId="0" fillId="0" borderId="0" xfId="0" applyAlignment="1">
      <alignment wrapText="1"/>
    </xf>
    <xf numFmtId="0" fontId="2" fillId="0" borderId="0" xfId="0" applyFont="1" applyAlignment="1">
      <alignment wrapText="1"/>
    </xf>
    <xf numFmtId="164" fontId="0" fillId="0" borderId="7" xfId="0" applyNumberFormat="1" applyBorder="1"/>
    <xf numFmtId="0" fontId="0" fillId="2" borderId="0" xfId="0" applyFill="1"/>
    <xf numFmtId="0" fontId="0" fillId="3" borderId="0" xfId="0" applyFill="1"/>
    <xf numFmtId="0" fontId="0" fillId="4" borderId="0" xfId="0" applyFill="1"/>
    <xf numFmtId="0" fontId="0" fillId="0" borderId="0" xfId="0" applyFill="1" applyBorder="1"/>
    <xf numFmtId="165" fontId="0" fillId="0" borderId="0" xfId="0" applyNumberFormat="1" applyBorder="1"/>
    <xf numFmtId="165" fontId="0" fillId="0" borderId="0" xfId="0" applyNumberFormat="1"/>
    <xf numFmtId="165" fontId="0" fillId="0" borderId="2" xfId="0" applyNumberFormat="1" applyBorder="1"/>
    <xf numFmtId="9" fontId="0" fillId="0" borderId="0" xfId="0" applyNumberFormat="1"/>
    <xf numFmtId="164" fontId="0" fillId="0" borderId="0" xfId="0" applyNumberFormat="1"/>
    <xf numFmtId="0" fontId="2" fillId="0" borderId="1" xfId="0" applyFont="1" applyBorder="1" applyAlignment="1">
      <alignment horizontal="right" wrapText="1"/>
    </xf>
    <xf numFmtId="0" fontId="0" fillId="0" borderId="0" xfId="0" applyAlignment="1">
      <alignment wrapText="1"/>
    </xf>
    <xf numFmtId="0" fontId="0" fillId="0" borderId="0" xfId="0" applyAlignment="1"/>
    <xf numFmtId="0" fontId="9" fillId="0" borderId="0" xfId="0" applyFont="1"/>
    <xf numFmtId="2" fontId="0" fillId="0" borderId="0" xfId="0" applyNumberFormat="1" applyAlignment="1">
      <alignment horizontal="right"/>
    </xf>
    <xf numFmtId="0" fontId="0" fillId="0" borderId="0" xfId="0" applyFont="1"/>
    <xf numFmtId="0" fontId="2" fillId="2" borderId="0" xfId="0" applyFont="1" applyFill="1"/>
    <xf numFmtId="0" fontId="2" fillId="4" borderId="0" xfId="0" applyFont="1" applyFill="1"/>
    <xf numFmtId="2" fontId="0" fillId="0" borderId="0" xfId="0" applyNumberFormat="1" applyAlignment="1">
      <alignment wrapText="1"/>
    </xf>
    <xf numFmtId="0" fontId="10" fillId="0" borderId="0" xfId="0" applyFont="1"/>
    <xf numFmtId="0" fontId="2" fillId="0" borderId="2" xfId="0" applyFont="1" applyBorder="1"/>
    <xf numFmtId="0" fontId="2" fillId="0" borderId="1" xfId="0" applyFont="1" applyBorder="1"/>
    <xf numFmtId="0" fontId="2" fillId="0" borderId="0" xfId="0" applyFont="1" applyBorder="1"/>
    <xf numFmtId="0" fontId="0" fillId="0" borderId="0" xfId="0" applyFont="1" applyAlignment="1">
      <alignment wrapText="1"/>
    </xf>
    <xf numFmtId="2" fontId="2" fillId="0" borderId="0" xfId="0" applyNumberFormat="1" applyFont="1" applyAlignment="1">
      <alignment horizontal="right"/>
    </xf>
    <xf numFmtId="2" fontId="2" fillId="0" borderId="0" xfId="0" applyNumberFormat="1" applyFont="1"/>
    <xf numFmtId="0" fontId="0" fillId="6" borderId="0" xfId="0" applyFill="1" applyAlignment="1">
      <alignment vertical="top"/>
    </xf>
    <xf numFmtId="2" fontId="11" fillId="6" borderId="0" xfId="0" applyNumberFormat="1" applyFont="1" applyFill="1" applyAlignment="1">
      <alignment vertical="top"/>
    </xf>
    <xf numFmtId="0" fontId="2" fillId="0" borderId="0" xfId="0" applyFont="1" applyAlignment="1">
      <alignment vertical="top" wrapText="1"/>
    </xf>
    <xf numFmtId="0" fontId="0" fillId="0" borderId="0" xfId="0" applyAlignment="1">
      <alignment wrapText="1"/>
    </xf>
    <xf numFmtId="0" fontId="4" fillId="0" borderId="0" xfId="0" applyFont="1" applyAlignment="1">
      <alignment wrapText="1"/>
    </xf>
    <xf numFmtId="0" fontId="0" fillId="5" borderId="0" xfId="0" applyFill="1" applyAlignment="1">
      <alignment wrapText="1"/>
    </xf>
    <xf numFmtId="0" fontId="0" fillId="0" borderId="0" xfId="0" applyBorder="1" applyAlignment="1">
      <alignment wrapText="1"/>
    </xf>
    <xf numFmtId="0" fontId="2" fillId="0" borderId="0" xfId="0" applyFont="1" applyAlignment="1">
      <alignment wrapText="1"/>
    </xf>
    <xf numFmtId="0" fontId="0" fillId="0" borderId="0" xfId="0" applyFont="1" applyAlignment="1">
      <alignment wrapText="1"/>
    </xf>
    <xf numFmtId="0" fontId="0" fillId="6" borderId="0" xfId="0" applyFill="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D16" sqref="D16"/>
    </sheetView>
  </sheetViews>
  <sheetFormatPr defaultRowHeight="15" x14ac:dyDescent="0.25"/>
  <cols>
    <col min="1" max="1" width="3.140625" customWidth="1"/>
    <col min="2" max="2" width="23" customWidth="1"/>
    <col min="3" max="3" width="54.85546875" customWidth="1"/>
    <col min="4" max="4" width="13.5703125" customWidth="1"/>
    <col min="5" max="6" width="14" customWidth="1"/>
    <col min="7" max="7" width="15.28515625" customWidth="1"/>
    <col min="8" max="8" width="14.28515625" customWidth="1"/>
    <col min="9" max="9" width="14.5703125" customWidth="1"/>
    <col min="10" max="10" width="12.42578125" customWidth="1"/>
  </cols>
  <sheetData>
    <row r="1" spans="2:9" x14ac:dyDescent="0.25">
      <c r="B1" t="s">
        <v>74</v>
      </c>
    </row>
    <row r="3" spans="2:9" x14ac:dyDescent="0.25">
      <c r="B3" t="s">
        <v>79</v>
      </c>
      <c r="D3" s="35" t="s">
        <v>71</v>
      </c>
      <c r="E3" s="35"/>
      <c r="F3" s="36" t="s">
        <v>72</v>
      </c>
      <c r="G3" s="36"/>
      <c r="H3" s="34" t="s">
        <v>73</v>
      </c>
      <c r="I3" s="34"/>
    </row>
    <row r="4" spans="2:9" ht="30" x14ac:dyDescent="0.25">
      <c r="D4" s="32" t="s">
        <v>80</v>
      </c>
      <c r="E4" s="32" t="s">
        <v>77</v>
      </c>
      <c r="F4" s="32" t="s">
        <v>80</v>
      </c>
      <c r="G4" s="32" t="s">
        <v>77</v>
      </c>
      <c r="H4" s="32" t="s">
        <v>80</v>
      </c>
      <c r="I4" s="32" t="s">
        <v>77</v>
      </c>
    </row>
    <row r="5" spans="2:9" ht="20.25" customHeight="1" x14ac:dyDescent="0.25">
      <c r="D5" s="27" t="s">
        <v>4</v>
      </c>
      <c r="E5" s="27" t="s">
        <v>4</v>
      </c>
      <c r="F5" s="27" t="s">
        <v>4</v>
      </c>
      <c r="G5" s="27" t="s">
        <v>4</v>
      </c>
      <c r="H5" s="27" t="s">
        <v>4</v>
      </c>
      <c r="I5" s="27" t="s">
        <v>4</v>
      </c>
    </row>
    <row r="6" spans="2:9" x14ac:dyDescent="0.25">
      <c r="B6" s="28" t="s">
        <v>50</v>
      </c>
      <c r="C6" s="7" t="s">
        <v>54</v>
      </c>
      <c r="D6" s="4">
        <f>'6k input tpa'!O43</f>
        <v>5820.6375499999995</v>
      </c>
      <c r="E6" s="3">
        <f>'6k input tpa'!Q43</f>
        <v>0.97010625833333319</v>
      </c>
      <c r="F6" s="4">
        <f>'25k input tpa'!O43</f>
        <v>6514.5762999999997</v>
      </c>
      <c r="G6" s="3">
        <f>'25k input tpa'!Q43</f>
        <v>0.26058305199999998</v>
      </c>
      <c r="H6" s="4">
        <f>'50k input tpa'!O43</f>
        <v>6635.2613000000001</v>
      </c>
      <c r="I6" s="3">
        <f>'50k input tpa'!Q43</f>
        <v>0.13270522600000001</v>
      </c>
    </row>
    <row r="7" spans="2:9" x14ac:dyDescent="0.25">
      <c r="B7" s="28" t="s">
        <v>51</v>
      </c>
      <c r="C7" s="9" t="s">
        <v>75</v>
      </c>
      <c r="D7" s="4">
        <f>'6k input tpa'!O44</f>
        <v>2877.1304</v>
      </c>
      <c r="E7" s="3">
        <f>'6k input tpa'!Q44</f>
        <v>0.47952173333333331</v>
      </c>
      <c r="F7" s="4">
        <f>'25k input tpa'!O44</f>
        <v>4468.9655499999999</v>
      </c>
      <c r="G7" s="3">
        <f>'25k input tpa'!Q44</f>
        <v>0.17875862200000001</v>
      </c>
      <c r="H7" s="4">
        <f>'50k input tpa'!O44</f>
        <v>5487.5469500000008</v>
      </c>
      <c r="I7" s="3">
        <f>'50k input tpa'!Q44</f>
        <v>0.10975093900000002</v>
      </c>
    </row>
    <row r="8" spans="2:9" x14ac:dyDescent="0.25">
      <c r="B8" s="28" t="s">
        <v>52</v>
      </c>
      <c r="C8" s="9" t="s">
        <v>75</v>
      </c>
      <c r="D8" s="4">
        <f>'6k input tpa'!O45</f>
        <v>2877.1304</v>
      </c>
      <c r="E8" s="3">
        <f>'6k input tpa'!Q45</f>
        <v>0.47952173333333331</v>
      </c>
      <c r="F8" s="4">
        <f>'25k input tpa'!O45</f>
        <v>4468.9655499999999</v>
      </c>
      <c r="G8" s="3">
        <f>'25k input tpa'!Q45</f>
        <v>0.17875862200000001</v>
      </c>
      <c r="H8" s="4">
        <f>'50k input tpa'!O45</f>
        <v>5487.5469500000008</v>
      </c>
      <c r="I8" s="3">
        <f>'50k input tpa'!Q45</f>
        <v>0.10975093900000002</v>
      </c>
    </row>
    <row r="9" spans="2:9" ht="30" x14ac:dyDescent="0.25">
      <c r="B9" s="29" t="s">
        <v>53</v>
      </c>
      <c r="C9" s="9" t="s">
        <v>75</v>
      </c>
      <c r="D9" s="4">
        <f>'6k input tpa'!O46</f>
        <v>4922.7411499999998</v>
      </c>
      <c r="E9" s="3">
        <f>'6k input tpa'!Q46</f>
        <v>0.82045685833333326</v>
      </c>
      <c r="F9" s="4">
        <f>'25k input tpa'!O46</f>
        <v>6514.5762999999997</v>
      </c>
      <c r="G9" s="3">
        <f>'25k input tpa'!Q46</f>
        <v>0.26058305199999998</v>
      </c>
      <c r="H9" s="4">
        <f>'50k input tpa'!O46</f>
        <v>7533.1577000000007</v>
      </c>
      <c r="I9" s="3">
        <f>'50k input tpa'!Q46</f>
        <v>0.15066315400000002</v>
      </c>
    </row>
    <row r="12" spans="2:9" x14ac:dyDescent="0.25">
      <c r="B12" t="s">
        <v>78</v>
      </c>
      <c r="D12" s="35" t="s">
        <v>71</v>
      </c>
      <c r="E12" s="35"/>
      <c r="F12" s="36" t="s">
        <v>72</v>
      </c>
      <c r="G12" s="36"/>
      <c r="H12" s="34" t="s">
        <v>73</v>
      </c>
      <c r="I12" s="34"/>
    </row>
    <row r="13" spans="2:9" ht="30" x14ac:dyDescent="0.25">
      <c r="D13" s="32" t="s">
        <v>80</v>
      </c>
      <c r="E13" s="32" t="s">
        <v>77</v>
      </c>
      <c r="F13" s="32" t="s">
        <v>80</v>
      </c>
      <c r="G13" s="32" t="s">
        <v>77</v>
      </c>
      <c r="H13" s="32" t="s">
        <v>80</v>
      </c>
      <c r="I13" s="32" t="s">
        <v>77</v>
      </c>
    </row>
    <row r="14" spans="2:9" x14ac:dyDescent="0.25">
      <c r="D14" s="27" t="s">
        <v>4</v>
      </c>
      <c r="E14" s="27" t="s">
        <v>4</v>
      </c>
      <c r="F14" s="27" t="s">
        <v>4</v>
      </c>
      <c r="G14" s="27" t="s">
        <v>4</v>
      </c>
      <c r="H14" s="27" t="s">
        <v>4</v>
      </c>
      <c r="I14" s="27" t="s">
        <v>4</v>
      </c>
    </row>
    <row r="15" spans="2:9" x14ac:dyDescent="0.25">
      <c r="B15" s="28" t="s">
        <v>50</v>
      </c>
      <c r="C15" s="7" t="s">
        <v>54</v>
      </c>
      <c r="D15" s="4">
        <f>'6k input tpa'!P43</f>
        <v>5306.5194499999998</v>
      </c>
      <c r="E15" s="3">
        <f>'6k input tpa'!R43</f>
        <v>0.88441990833333328</v>
      </c>
      <c r="F15" s="4">
        <f>'25k input tpa'!P43</f>
        <v>6181.4857000000002</v>
      </c>
      <c r="G15" s="3">
        <f>'25k input tpa'!R43</f>
        <v>0.247259428</v>
      </c>
      <c r="H15" s="4">
        <f>'50k input tpa'!P43</f>
        <v>6784.9107000000004</v>
      </c>
      <c r="I15" s="3">
        <f>'50k input tpa'!R43</f>
        <v>0.13569821400000001</v>
      </c>
    </row>
    <row r="16" spans="2:9" x14ac:dyDescent="0.25">
      <c r="B16" s="28" t="s">
        <v>51</v>
      </c>
      <c r="C16" s="9" t="s">
        <v>75</v>
      </c>
      <c r="D16" s="4">
        <f>'6k input tpa'!P44</f>
        <v>2348.5300999999999</v>
      </c>
      <c r="E16" s="3">
        <f>'6k input tpa'!R44</f>
        <v>0.39142168333333333</v>
      </c>
      <c r="F16" s="4">
        <f>'25k input tpa'!P44</f>
        <v>3954.8474500000002</v>
      </c>
      <c r="G16" s="3">
        <f>'25k input tpa'!R44</f>
        <v>0.158193898</v>
      </c>
      <c r="H16" s="4">
        <f>'50k input tpa'!P44</f>
        <v>5349.9660500000009</v>
      </c>
      <c r="I16" s="3">
        <f>'50k input tpa'!R44</f>
        <v>0.10699932100000002</v>
      </c>
    </row>
    <row r="17" spans="2:9" x14ac:dyDescent="0.25">
      <c r="B17" s="28" t="s">
        <v>52</v>
      </c>
      <c r="C17" s="9" t="s">
        <v>75</v>
      </c>
      <c r="D17" s="4">
        <f>'6k input tpa'!P45</f>
        <v>2348.5300999999999</v>
      </c>
      <c r="E17" s="3">
        <f>'6k input tpa'!R45</f>
        <v>0.39142168333333333</v>
      </c>
      <c r="F17" s="4">
        <f>'25k input tpa'!P45</f>
        <v>3954.8474500000002</v>
      </c>
      <c r="G17" s="3">
        <f>'25k input tpa'!R45</f>
        <v>0.158193898</v>
      </c>
      <c r="H17" s="4">
        <f>'50k input tpa'!P45</f>
        <v>5349.9660500000009</v>
      </c>
      <c r="I17" s="3">
        <f>'50k input tpa'!R45</f>
        <v>0.10699932100000002</v>
      </c>
    </row>
    <row r="18" spans="2:9" ht="30" x14ac:dyDescent="0.25">
      <c r="B18" s="29" t="s">
        <v>53</v>
      </c>
      <c r="C18" s="9" t="s">
        <v>75</v>
      </c>
      <c r="D18" s="4">
        <f>'6k input tpa'!P46</f>
        <v>4967.3945999999996</v>
      </c>
      <c r="E18" s="3">
        <f>'6k input tpa'!R46</f>
        <v>0.82789909999999989</v>
      </c>
      <c r="F18" s="4">
        <f>'25k input tpa'!P46</f>
        <v>7388.3356999999996</v>
      </c>
      <c r="G18" s="3">
        <f>'25k input tpa'!R46</f>
        <v>0.29553342799999999</v>
      </c>
      <c r="H18" s="4">
        <f>'50k input tpa'!P46</f>
        <v>9266.194300000001</v>
      </c>
      <c r="I18" s="3">
        <f>'50k input tpa'!R46</f>
        <v>0.18532388600000002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10" workbookViewId="0">
      <selection activeCell="B32" sqref="B32:F32"/>
    </sheetView>
  </sheetViews>
  <sheetFormatPr defaultRowHeight="15" x14ac:dyDescent="0.25"/>
  <cols>
    <col min="1" max="1" width="18.85546875" customWidth="1"/>
    <col min="2" max="2" width="39.28515625" customWidth="1"/>
    <col min="3" max="3" width="19.28515625" customWidth="1"/>
    <col min="4" max="4" width="22.7109375" customWidth="1"/>
    <col min="5" max="5" width="21.28515625" customWidth="1"/>
    <col min="6" max="6" width="21.85546875" customWidth="1"/>
    <col min="7" max="7" width="15.85546875" customWidth="1"/>
    <col min="8" max="8" width="14.7109375" customWidth="1"/>
    <col min="9" max="9" width="5.7109375" customWidth="1"/>
    <col min="10" max="10" width="12.7109375" customWidth="1"/>
    <col min="11" max="11" width="13.85546875" customWidth="1"/>
    <col min="12" max="12" width="16.85546875" customWidth="1"/>
    <col min="13" max="13" width="18.28515625" customWidth="1"/>
    <col min="14" max="14" width="5.7109375" customWidth="1"/>
    <col min="15" max="15" width="13.42578125" customWidth="1"/>
    <col min="16" max="16" width="13" customWidth="1"/>
    <col min="17" max="17" width="16.42578125" customWidth="1"/>
    <col min="18" max="18" width="15.28515625" customWidth="1"/>
  </cols>
  <sheetData>
    <row r="1" spans="2:6" ht="23.25" customHeight="1" x14ac:dyDescent="0.25">
      <c r="B1" s="61" t="s">
        <v>41</v>
      </c>
      <c r="C1" s="61"/>
      <c r="D1" s="61"/>
      <c r="E1" s="61"/>
      <c r="F1" s="61"/>
    </row>
    <row r="2" spans="2:6" x14ac:dyDescent="0.25">
      <c r="E2" t="s">
        <v>29</v>
      </c>
      <c r="F2" t="s">
        <v>29</v>
      </c>
    </row>
    <row r="3" spans="2:6" x14ac:dyDescent="0.25">
      <c r="B3" s="10" t="s">
        <v>0</v>
      </c>
      <c r="C3" s="10" t="s">
        <v>1</v>
      </c>
      <c r="D3" s="10" t="s">
        <v>2</v>
      </c>
      <c r="E3" t="s">
        <v>42</v>
      </c>
      <c r="F3" t="s">
        <v>43</v>
      </c>
    </row>
    <row r="4" spans="2:6" x14ac:dyDescent="0.25">
      <c r="B4" s="2"/>
      <c r="C4" s="2"/>
      <c r="D4" s="2"/>
      <c r="E4" s="2" t="s">
        <v>3</v>
      </c>
      <c r="F4" s="2" t="s">
        <v>3</v>
      </c>
    </row>
    <row r="5" spans="2:6" x14ac:dyDescent="0.25">
      <c r="B5" t="s">
        <v>5</v>
      </c>
      <c r="C5" t="s">
        <v>20</v>
      </c>
      <c r="D5" t="s">
        <v>20</v>
      </c>
      <c r="E5">
        <v>6</v>
      </c>
      <c r="F5">
        <v>6</v>
      </c>
    </row>
    <row r="6" spans="2:6" x14ac:dyDescent="0.25">
      <c r="B6" t="s">
        <v>24</v>
      </c>
      <c r="C6" t="s">
        <v>20</v>
      </c>
      <c r="D6" t="s">
        <v>20</v>
      </c>
      <c r="E6">
        <v>27</v>
      </c>
      <c r="F6">
        <v>27</v>
      </c>
    </row>
    <row r="7" spans="2:6" x14ac:dyDescent="0.25">
      <c r="B7" s="1" t="s">
        <v>23</v>
      </c>
      <c r="C7" t="s">
        <v>20</v>
      </c>
      <c r="D7" t="s">
        <v>20</v>
      </c>
      <c r="E7">
        <v>19</v>
      </c>
      <c r="F7">
        <v>19</v>
      </c>
    </row>
    <row r="8" spans="2:6" x14ac:dyDescent="0.25">
      <c r="B8" t="s">
        <v>22</v>
      </c>
      <c r="C8" t="s">
        <v>20</v>
      </c>
      <c r="D8" t="s">
        <v>20</v>
      </c>
      <c r="E8">
        <v>39</v>
      </c>
      <c r="F8">
        <v>39</v>
      </c>
    </row>
    <row r="9" spans="2:6" x14ac:dyDescent="0.25">
      <c r="B9" t="s">
        <v>13</v>
      </c>
      <c r="C9" t="s">
        <v>20</v>
      </c>
      <c r="D9" t="s">
        <v>20</v>
      </c>
      <c r="E9">
        <v>125</v>
      </c>
      <c r="F9">
        <v>125</v>
      </c>
    </row>
    <row r="10" spans="2:6" x14ac:dyDescent="0.25">
      <c r="B10" t="s">
        <v>30</v>
      </c>
      <c r="C10" t="s">
        <v>20</v>
      </c>
      <c r="D10" t="s">
        <v>20</v>
      </c>
      <c r="E10">
        <v>36</v>
      </c>
      <c r="F10">
        <v>36</v>
      </c>
    </row>
    <row r="11" spans="2:6" x14ac:dyDescent="0.25">
      <c r="B11" t="s">
        <v>25</v>
      </c>
      <c r="C11" t="s">
        <v>20</v>
      </c>
      <c r="D11" t="s">
        <v>20</v>
      </c>
      <c r="E11">
        <v>118</v>
      </c>
      <c r="F11">
        <v>118</v>
      </c>
    </row>
    <row r="12" spans="2:6" x14ac:dyDescent="0.25">
      <c r="B12" t="s">
        <v>26</v>
      </c>
      <c r="C12" t="s">
        <v>20</v>
      </c>
      <c r="D12" t="s">
        <v>20</v>
      </c>
      <c r="E12">
        <v>71</v>
      </c>
      <c r="F12">
        <v>71</v>
      </c>
    </row>
    <row r="13" spans="2:6" x14ac:dyDescent="0.25">
      <c r="B13" t="s">
        <v>27</v>
      </c>
      <c r="C13" t="s">
        <v>20</v>
      </c>
      <c r="D13" t="s">
        <v>20</v>
      </c>
      <c r="E13">
        <v>251</v>
      </c>
      <c r="F13">
        <v>251</v>
      </c>
    </row>
    <row r="14" spans="2:6" x14ac:dyDescent="0.25">
      <c r="B14" t="s">
        <v>28</v>
      </c>
      <c r="C14" t="s">
        <v>20</v>
      </c>
      <c r="D14" t="s">
        <v>20</v>
      </c>
      <c r="E14">
        <v>125</v>
      </c>
      <c r="F14">
        <v>125</v>
      </c>
    </row>
    <row r="15" spans="2:6" x14ac:dyDescent="0.25">
      <c r="B15" t="s">
        <v>18</v>
      </c>
      <c r="C15" t="s">
        <v>21</v>
      </c>
      <c r="D15" t="s">
        <v>20</v>
      </c>
      <c r="E15">
        <v>4</v>
      </c>
      <c r="F15">
        <v>4</v>
      </c>
    </row>
    <row r="16" spans="2:6" x14ac:dyDescent="0.25">
      <c r="B16" t="s">
        <v>14</v>
      </c>
      <c r="C16" t="s">
        <v>20</v>
      </c>
      <c r="D16" t="s">
        <v>21</v>
      </c>
      <c r="E16">
        <v>7</v>
      </c>
      <c r="F16" s="5" t="s">
        <v>9</v>
      </c>
    </row>
    <row r="17" spans="2:6" x14ac:dyDescent="0.25">
      <c r="B17" t="s">
        <v>15</v>
      </c>
      <c r="C17" t="s">
        <v>20</v>
      </c>
      <c r="D17" t="s">
        <v>20</v>
      </c>
      <c r="E17">
        <v>5</v>
      </c>
      <c r="F17">
        <v>5</v>
      </c>
    </row>
    <row r="18" spans="2:6" x14ac:dyDescent="0.25">
      <c r="B18" t="s">
        <v>16</v>
      </c>
      <c r="C18" t="s">
        <v>20</v>
      </c>
      <c r="D18" t="s">
        <v>20</v>
      </c>
      <c r="E18">
        <v>5</v>
      </c>
      <c r="F18">
        <v>5</v>
      </c>
    </row>
    <row r="19" spans="2:6" x14ac:dyDescent="0.25">
      <c r="B19" t="s">
        <v>8</v>
      </c>
      <c r="C19" t="s">
        <v>20</v>
      </c>
      <c r="D19" t="s">
        <v>21</v>
      </c>
      <c r="E19">
        <v>38</v>
      </c>
      <c r="F19" s="5" t="s">
        <v>9</v>
      </c>
    </row>
    <row r="20" spans="2:6" x14ac:dyDescent="0.25">
      <c r="B20" t="s">
        <v>19</v>
      </c>
      <c r="C20" t="s">
        <v>21</v>
      </c>
      <c r="D20" t="s">
        <v>20</v>
      </c>
      <c r="E20" s="5" t="s">
        <v>9</v>
      </c>
      <c r="F20">
        <v>26</v>
      </c>
    </row>
    <row r="21" spans="2:6" x14ac:dyDescent="0.25">
      <c r="B21" t="s">
        <v>7</v>
      </c>
      <c r="C21" t="s">
        <v>20</v>
      </c>
      <c r="D21" t="s">
        <v>20</v>
      </c>
      <c r="E21">
        <v>15</v>
      </c>
      <c r="F21">
        <v>15</v>
      </c>
    </row>
    <row r="22" spans="2:6" x14ac:dyDescent="0.25">
      <c r="B22" t="s">
        <v>11</v>
      </c>
      <c r="C22" t="s">
        <v>20</v>
      </c>
      <c r="D22" t="s">
        <v>20</v>
      </c>
      <c r="E22">
        <v>30</v>
      </c>
      <c r="F22">
        <v>30</v>
      </c>
    </row>
    <row r="23" spans="2:6" x14ac:dyDescent="0.25">
      <c r="B23" t="s">
        <v>10</v>
      </c>
      <c r="C23" t="s">
        <v>20</v>
      </c>
      <c r="D23" t="s">
        <v>20</v>
      </c>
      <c r="E23" t="s">
        <v>31</v>
      </c>
      <c r="F23" t="s">
        <v>31</v>
      </c>
    </row>
    <row r="24" spans="2:6" x14ac:dyDescent="0.25">
      <c r="B24" t="s">
        <v>12</v>
      </c>
      <c r="C24" t="s">
        <v>20</v>
      </c>
      <c r="D24" t="s">
        <v>20</v>
      </c>
      <c r="E24" t="s">
        <v>31</v>
      </c>
      <c r="F24" t="s">
        <v>31</v>
      </c>
    </row>
    <row r="25" spans="2:6" x14ac:dyDescent="0.25">
      <c r="B25" t="s">
        <v>17</v>
      </c>
      <c r="C25" t="s">
        <v>21</v>
      </c>
      <c r="D25" t="s">
        <v>20</v>
      </c>
      <c r="E25" t="s">
        <v>31</v>
      </c>
      <c r="F25" t="s">
        <v>31</v>
      </c>
    </row>
    <row r="26" spans="2:6" x14ac:dyDescent="0.25">
      <c r="B26" s="2" t="s">
        <v>6</v>
      </c>
      <c r="C26" s="2" t="s">
        <v>20</v>
      </c>
      <c r="D26" s="2" t="s">
        <v>20</v>
      </c>
      <c r="E26" s="2">
        <v>16</v>
      </c>
      <c r="F26" s="2">
        <v>16</v>
      </c>
    </row>
    <row r="27" spans="2:6" x14ac:dyDescent="0.25">
      <c r="B27" t="s">
        <v>32</v>
      </c>
      <c r="E27">
        <f>E5+E6+E7+E8+E9+E10+E11+E12+E13+E14+E15+E16+E17+E18+E19+E21+E22+E26</f>
        <v>937</v>
      </c>
      <c r="F27">
        <f>F5+F6+F7+F8+F9+F10+F11+F12+F13+F14+F15+F17+F18+F20+F21+F22+F26</f>
        <v>918</v>
      </c>
    </row>
    <row r="28" spans="2:6" x14ac:dyDescent="0.25">
      <c r="B28" s="16" t="s">
        <v>33</v>
      </c>
      <c r="C28" s="16"/>
      <c r="D28" s="16"/>
      <c r="E28" s="17">
        <f>E27*1.20685</f>
        <v>1130.81845</v>
      </c>
      <c r="F28" s="17">
        <f>F27*1.20685</f>
        <v>1107.8883000000001</v>
      </c>
    </row>
    <row r="30" spans="2:6" x14ac:dyDescent="0.25">
      <c r="B30" t="s">
        <v>36</v>
      </c>
      <c r="C30" t="s">
        <v>3</v>
      </c>
      <c r="E30">
        <f>E11+E12+E13+E14</f>
        <v>565</v>
      </c>
      <c r="F30">
        <f>F11+F12+F13+F14</f>
        <v>565</v>
      </c>
    </row>
    <row r="31" spans="2:6" x14ac:dyDescent="0.25">
      <c r="C31" t="s">
        <v>37</v>
      </c>
      <c r="E31" s="4">
        <f>E30*1.20685</f>
        <v>681.87024999999994</v>
      </c>
      <c r="F31" s="4">
        <f>F30*1.20685</f>
        <v>681.87024999999994</v>
      </c>
    </row>
    <row r="32" spans="2:6" ht="31.5" customHeight="1" x14ac:dyDescent="0.25">
      <c r="B32" s="62" t="s">
        <v>164</v>
      </c>
      <c r="C32" s="62"/>
      <c r="D32" s="62"/>
      <c r="E32" s="62"/>
      <c r="F32" s="62"/>
    </row>
    <row r="33" spans="1:18" ht="31.5" customHeight="1" x14ac:dyDescent="0.25">
      <c r="B33" s="64" t="s">
        <v>165</v>
      </c>
      <c r="C33" s="64"/>
      <c r="D33" s="64"/>
      <c r="E33" s="64"/>
      <c r="F33" s="64"/>
    </row>
    <row r="34" spans="1:18" ht="19.5" customHeight="1" x14ac:dyDescent="0.25">
      <c r="B34" s="44"/>
      <c r="C34" s="44"/>
      <c r="D34" s="44"/>
      <c r="E34" s="44"/>
      <c r="F34" s="44"/>
    </row>
    <row r="35" spans="1:18" ht="15.75" customHeight="1" x14ac:dyDescent="0.25">
      <c r="B35" s="19" t="s">
        <v>39</v>
      </c>
      <c r="C35" s="6"/>
      <c r="D35" s="6"/>
      <c r="E35" s="20">
        <v>6000</v>
      </c>
      <c r="F35" s="11"/>
    </row>
    <row r="36" spans="1:18" ht="32.25" customHeight="1" x14ac:dyDescent="0.25">
      <c r="B36" s="21" t="s">
        <v>34</v>
      </c>
      <c r="C36" s="65" t="s">
        <v>38</v>
      </c>
      <c r="D36" s="65"/>
      <c r="E36" s="30">
        <f>(E35/10000)+1</f>
        <v>1.6</v>
      </c>
      <c r="F36" s="11"/>
    </row>
    <row r="37" spans="1:18" ht="15.75" customHeight="1" x14ac:dyDescent="0.25">
      <c r="B37" s="22" t="s">
        <v>35</v>
      </c>
      <c r="C37" s="2"/>
      <c r="D37" s="2"/>
      <c r="E37" s="23">
        <v>2</v>
      </c>
      <c r="F37" s="11"/>
    </row>
    <row r="38" spans="1:18" ht="15.75" customHeight="1" x14ac:dyDescent="0.25">
      <c r="B38" s="24" t="s">
        <v>58</v>
      </c>
      <c r="C38" s="25"/>
      <c r="D38" s="25"/>
      <c r="E38" s="25"/>
      <c r="F38" s="11"/>
    </row>
    <row r="39" spans="1:18" ht="15.75" customHeight="1" x14ac:dyDescent="0.25">
      <c r="B39" s="24"/>
      <c r="C39" s="25"/>
      <c r="D39" s="25"/>
      <c r="E39" s="25"/>
      <c r="F39" s="11"/>
    </row>
    <row r="40" spans="1:18" ht="15.75" customHeight="1" x14ac:dyDescent="0.25">
      <c r="B40" s="24"/>
      <c r="C40" s="25"/>
      <c r="D40" s="25"/>
      <c r="E40" s="10" t="s">
        <v>45</v>
      </c>
      <c r="F40" s="11"/>
      <c r="J40" s="10" t="s">
        <v>62</v>
      </c>
      <c r="O40" s="10" t="s">
        <v>68</v>
      </c>
    </row>
    <row r="41" spans="1:18" ht="45" x14ac:dyDescent="0.25">
      <c r="A41" s="12"/>
      <c r="E41" s="13" t="s">
        <v>1</v>
      </c>
      <c r="F41" s="13" t="s">
        <v>2</v>
      </c>
      <c r="G41" s="18" t="s">
        <v>55</v>
      </c>
      <c r="H41" s="18" t="s">
        <v>56</v>
      </c>
      <c r="J41" s="10" t="s">
        <v>65</v>
      </c>
      <c r="K41" s="10" t="s">
        <v>66</v>
      </c>
      <c r="L41" s="32" t="s">
        <v>55</v>
      </c>
      <c r="M41" s="32" t="s">
        <v>56</v>
      </c>
      <c r="O41" s="10" t="s">
        <v>63</v>
      </c>
      <c r="P41" s="10" t="s">
        <v>64</v>
      </c>
      <c r="Q41" s="32" t="s">
        <v>55</v>
      </c>
      <c r="R41" s="32" t="s">
        <v>56</v>
      </c>
    </row>
    <row r="42" spans="1:18" x14ac:dyDescent="0.25">
      <c r="A42" s="26"/>
      <c r="B42" s="26"/>
      <c r="C42" s="26"/>
      <c r="D42" s="26"/>
      <c r="E42" s="27" t="s">
        <v>4</v>
      </c>
      <c r="F42" s="27" t="s">
        <v>4</v>
      </c>
      <c r="G42" s="27" t="s">
        <v>4</v>
      </c>
      <c r="H42" s="27" t="s">
        <v>4</v>
      </c>
      <c r="J42" s="27" t="s">
        <v>4</v>
      </c>
      <c r="K42" s="27" t="s">
        <v>4</v>
      </c>
      <c r="L42" s="27" t="s">
        <v>4</v>
      </c>
      <c r="M42" s="27" t="s">
        <v>4</v>
      </c>
      <c r="O42" s="27" t="s">
        <v>4</v>
      </c>
      <c r="P42" s="27" t="s">
        <v>4</v>
      </c>
      <c r="Q42" s="27" t="s">
        <v>4</v>
      </c>
      <c r="R42" s="27" t="s">
        <v>4</v>
      </c>
    </row>
    <row r="43" spans="1:18" ht="17.25" customHeight="1" x14ac:dyDescent="0.25">
      <c r="A43" s="28" t="s">
        <v>50</v>
      </c>
      <c r="B43" s="7" t="s">
        <v>54</v>
      </c>
      <c r="E43" s="8">
        <f>E28*4</f>
        <v>4523.2737999999999</v>
      </c>
      <c r="F43" s="8">
        <f>F28*4</f>
        <v>4431.5532000000003</v>
      </c>
      <c r="G43" s="3">
        <f>E43/E35</f>
        <v>0.75387896666666665</v>
      </c>
      <c r="H43" s="3">
        <f>F43/E35</f>
        <v>0.73859220000000003</v>
      </c>
      <c r="J43" s="4">
        <f>1075*1.20685</f>
        <v>1297.36375</v>
      </c>
      <c r="K43" s="4">
        <f>725*1.20685</f>
        <v>874.96624999999995</v>
      </c>
      <c r="L43" s="3">
        <f>J43/$E$35</f>
        <v>0.21622729166666665</v>
      </c>
      <c r="M43" s="3">
        <f>K43/$E$35</f>
        <v>0.14582770833333333</v>
      </c>
      <c r="O43" s="4">
        <f>E43+J43</f>
        <v>5820.6375499999995</v>
      </c>
      <c r="P43" s="4">
        <f>F43+K43</f>
        <v>5306.5194499999998</v>
      </c>
      <c r="Q43" s="3">
        <f>O43/$E$35</f>
        <v>0.97010625833333319</v>
      </c>
      <c r="R43" s="3">
        <f>P43/$E$35</f>
        <v>0.88441990833333328</v>
      </c>
    </row>
    <row r="44" spans="1:18" ht="28.5" customHeight="1" x14ac:dyDescent="0.25">
      <c r="A44" s="28" t="s">
        <v>51</v>
      </c>
      <c r="B44" s="63" t="s">
        <v>83</v>
      </c>
      <c r="C44" s="62"/>
      <c r="D44" s="62"/>
      <c r="E44" s="3">
        <f>(E28*2)-E31</f>
        <v>1579.76665</v>
      </c>
      <c r="F44" s="3">
        <f>(F28*2)-F31</f>
        <v>1533.9063500000002</v>
      </c>
      <c r="G44" s="3">
        <f>E44/E35</f>
        <v>0.26329444166666666</v>
      </c>
      <c r="H44" s="3">
        <f>F44/E35</f>
        <v>0.25565105833333335</v>
      </c>
      <c r="J44" s="4">
        <f>J43</f>
        <v>1297.36375</v>
      </c>
      <c r="K44" s="4">
        <f>675*1.20685</f>
        <v>814.62374999999997</v>
      </c>
      <c r="L44" s="3">
        <f t="shared" ref="L44:L46" si="0">J44/$E$35</f>
        <v>0.21622729166666665</v>
      </c>
      <c r="M44" s="3">
        <f t="shared" ref="M44:M46" si="1">K44/$E$35</f>
        <v>0.13577062500000001</v>
      </c>
      <c r="O44" s="4">
        <f t="shared" ref="O44:O46" si="2">E44+J44</f>
        <v>2877.1304</v>
      </c>
      <c r="P44" s="4">
        <f t="shared" ref="P44:P46" si="3">F44+K44</f>
        <v>2348.5300999999999</v>
      </c>
      <c r="Q44" s="3">
        <f t="shared" ref="Q44:Q46" si="4">O44/$E$35</f>
        <v>0.47952173333333331</v>
      </c>
      <c r="R44" s="3">
        <f t="shared" ref="R44:R46" si="5">P44/$E$35</f>
        <v>0.39142168333333333</v>
      </c>
    </row>
    <row r="45" spans="1:18" ht="31.5" customHeight="1" x14ac:dyDescent="0.25">
      <c r="A45" s="28" t="s">
        <v>52</v>
      </c>
      <c r="B45" s="63" t="s">
        <v>61</v>
      </c>
      <c r="C45" s="62"/>
      <c r="D45" s="62"/>
      <c r="E45" s="3">
        <f>E44</f>
        <v>1579.76665</v>
      </c>
      <c r="F45" s="3">
        <f>F44</f>
        <v>1533.9063500000002</v>
      </c>
      <c r="G45" s="3">
        <f>E45/E35</f>
        <v>0.26329444166666666</v>
      </c>
      <c r="H45" s="3">
        <f>F45/E35</f>
        <v>0.25565105833333335</v>
      </c>
      <c r="J45" s="4">
        <f>J43</f>
        <v>1297.36375</v>
      </c>
      <c r="K45" s="4">
        <f>675*1.20685</f>
        <v>814.62374999999997</v>
      </c>
      <c r="L45" s="3">
        <f t="shared" si="0"/>
        <v>0.21622729166666665</v>
      </c>
      <c r="M45" s="3">
        <f t="shared" si="1"/>
        <v>0.13577062500000001</v>
      </c>
      <c r="O45" s="4">
        <f t="shared" si="2"/>
        <v>2877.1304</v>
      </c>
      <c r="P45" s="4">
        <f t="shared" si="3"/>
        <v>2348.5300999999999</v>
      </c>
      <c r="Q45" s="3">
        <f t="shared" si="4"/>
        <v>0.47952173333333331</v>
      </c>
      <c r="R45" s="3">
        <f t="shared" si="5"/>
        <v>0.39142168333333333</v>
      </c>
    </row>
    <row r="46" spans="1:18" ht="41.25" customHeight="1" x14ac:dyDescent="0.25">
      <c r="A46" s="29" t="s">
        <v>53</v>
      </c>
      <c r="B46" s="63" t="s">
        <v>81</v>
      </c>
      <c r="C46" s="62"/>
      <c r="D46" s="62"/>
      <c r="E46" s="3">
        <f>(E28*2)+(2*E31)</f>
        <v>3625.3773999999999</v>
      </c>
      <c r="F46" s="3">
        <f>(F28*2)+(2*F31)</f>
        <v>3579.5171</v>
      </c>
      <c r="G46" s="3">
        <f>E46/E35</f>
        <v>0.60422956666666661</v>
      </c>
      <c r="H46" s="3">
        <f>F46/E35</f>
        <v>0.59658618333333335</v>
      </c>
      <c r="J46" s="4">
        <f>J43</f>
        <v>1297.36375</v>
      </c>
      <c r="K46" s="4">
        <f>1150*1.20685</f>
        <v>1387.8775000000001</v>
      </c>
      <c r="L46" s="3">
        <f t="shared" si="0"/>
        <v>0.21622729166666665</v>
      </c>
      <c r="M46" s="3">
        <f t="shared" si="1"/>
        <v>0.23131291666666667</v>
      </c>
      <c r="O46" s="4">
        <f t="shared" si="2"/>
        <v>4922.7411499999998</v>
      </c>
      <c r="P46" s="4">
        <f t="shared" si="3"/>
        <v>4967.3945999999996</v>
      </c>
      <c r="Q46" s="3">
        <f t="shared" si="4"/>
        <v>0.82045685833333326</v>
      </c>
      <c r="R46" s="3">
        <f t="shared" si="5"/>
        <v>0.82789909999999989</v>
      </c>
    </row>
    <row r="47" spans="1:18" x14ac:dyDescent="0.25">
      <c r="B47" s="7"/>
      <c r="E47" s="3"/>
      <c r="F47" s="3"/>
    </row>
    <row r="48" spans="1:18" ht="43.5" customHeight="1" x14ac:dyDescent="0.25">
      <c r="B48" s="63" t="s">
        <v>82</v>
      </c>
      <c r="C48" s="62"/>
      <c r="D48" s="62"/>
      <c r="E48" s="62"/>
      <c r="F48" s="62"/>
      <c r="J48" s="62" t="s">
        <v>106</v>
      </c>
      <c r="K48" s="62"/>
      <c r="L48" s="62"/>
      <c r="M48" s="62"/>
    </row>
    <row r="49" spans="2:10" ht="30.75" customHeight="1" x14ac:dyDescent="0.25">
      <c r="B49" s="63" t="s">
        <v>60</v>
      </c>
      <c r="C49" s="62"/>
      <c r="D49" s="62"/>
      <c r="E49" s="62"/>
      <c r="F49" s="62"/>
      <c r="J49" t="s">
        <v>67</v>
      </c>
    </row>
    <row r="50" spans="2:10" ht="29.25" customHeight="1" x14ac:dyDescent="0.25"/>
    <row r="51" spans="2:10" x14ac:dyDescent="0.25">
      <c r="B51" s="14" t="s">
        <v>57</v>
      </c>
    </row>
    <row r="52" spans="2:10" x14ac:dyDescent="0.25">
      <c r="B52" s="14"/>
    </row>
    <row r="53" spans="2:10" x14ac:dyDescent="0.25">
      <c r="B53" s="15" t="s">
        <v>46</v>
      </c>
    </row>
    <row r="54" spans="2:10" ht="60" customHeight="1" x14ac:dyDescent="0.25">
      <c r="B54" s="62" t="s">
        <v>47</v>
      </c>
      <c r="C54" s="62"/>
      <c r="D54" s="62"/>
      <c r="E54" s="62"/>
      <c r="F54" s="62"/>
    </row>
    <row r="56" spans="2:10" x14ac:dyDescent="0.25">
      <c r="B56" s="15" t="s">
        <v>40</v>
      </c>
    </row>
    <row r="57" spans="2:10" ht="64.5" customHeight="1" x14ac:dyDescent="0.25">
      <c r="B57" s="62" t="s">
        <v>48</v>
      </c>
      <c r="C57" s="62"/>
      <c r="D57" s="62"/>
      <c r="E57" s="62"/>
      <c r="F57" s="62"/>
    </row>
    <row r="59" spans="2:10" ht="62.25" customHeight="1" x14ac:dyDescent="0.25">
      <c r="B59" s="62" t="s">
        <v>44</v>
      </c>
      <c r="C59" s="62"/>
      <c r="D59" s="62"/>
      <c r="E59" s="62"/>
      <c r="F59" s="62"/>
    </row>
    <row r="60" spans="2:10" ht="15.75" customHeight="1" x14ac:dyDescent="0.25">
      <c r="B60" s="2"/>
      <c r="C60" s="43" t="s">
        <v>92</v>
      </c>
      <c r="D60" s="11"/>
      <c r="E60" s="11"/>
      <c r="F60" s="11"/>
    </row>
    <row r="61" spans="2:10" x14ac:dyDescent="0.25">
      <c r="B61" t="s">
        <v>88</v>
      </c>
      <c r="C61" s="3">
        <v>0.2</v>
      </c>
    </row>
    <row r="62" spans="2:10" x14ac:dyDescent="0.25">
      <c r="B62" t="s">
        <v>89</v>
      </c>
      <c r="C62" s="3">
        <v>0.85</v>
      </c>
    </row>
    <row r="63" spans="2:10" x14ac:dyDescent="0.25">
      <c r="B63" t="s">
        <v>90</v>
      </c>
      <c r="C63" s="3">
        <v>0.1</v>
      </c>
    </row>
    <row r="64" spans="2:10" x14ac:dyDescent="0.25">
      <c r="B64" t="s">
        <v>91</v>
      </c>
      <c r="C64" s="3">
        <v>0.98</v>
      </c>
    </row>
    <row r="65" spans="2:4" x14ac:dyDescent="0.25">
      <c r="B65" s="6" t="s">
        <v>94</v>
      </c>
      <c r="C65" s="40">
        <f>AVERAGE(C61:C64)</f>
        <v>0.53249999999999997</v>
      </c>
    </row>
    <row r="66" spans="2:4" x14ac:dyDescent="0.25">
      <c r="B66" s="37" t="s">
        <v>96</v>
      </c>
      <c r="C66" s="38">
        <f>STDEV(C61,C62,C63,C64)</f>
        <v>0.4467195242356588</v>
      </c>
    </row>
    <row r="67" spans="2:4" x14ac:dyDescent="0.25">
      <c r="B67" s="37" t="s">
        <v>98</v>
      </c>
      <c r="C67" s="38">
        <f>0.05</f>
        <v>0.05</v>
      </c>
      <c r="D67" s="41" t="s">
        <v>99</v>
      </c>
    </row>
    <row r="68" spans="2:4" x14ac:dyDescent="0.25">
      <c r="B68" s="37" t="s">
        <v>103</v>
      </c>
      <c r="C68" s="38">
        <f>COUNT(C61:C64)</f>
        <v>4</v>
      </c>
      <c r="D68" s="41"/>
    </row>
    <row r="69" spans="2:4" x14ac:dyDescent="0.25">
      <c r="B69" s="37" t="s">
        <v>95</v>
      </c>
      <c r="C69" s="39">
        <f>_xlfn.CONFIDENCE.NORM(C67,C66,C68)</f>
        <v>0.43777708934637943</v>
      </c>
      <c r="D69" t="s">
        <v>104</v>
      </c>
    </row>
    <row r="71" spans="2:4" x14ac:dyDescent="0.25">
      <c r="B71" t="s">
        <v>93</v>
      </c>
      <c r="C71" s="3">
        <v>0.8</v>
      </c>
    </row>
    <row r="72" spans="2:4" x14ac:dyDescent="0.25">
      <c r="B72" t="s">
        <v>97</v>
      </c>
      <c r="C72" s="39">
        <f>C71+C69</f>
        <v>1.2377770893463795</v>
      </c>
    </row>
    <row r="74" spans="2:4" x14ac:dyDescent="0.25">
      <c r="B74" t="s">
        <v>100</v>
      </c>
      <c r="C74" s="42">
        <v>1</v>
      </c>
    </row>
    <row r="75" spans="2:4" ht="30" x14ac:dyDescent="0.25">
      <c r="B75" s="31" t="s">
        <v>101</v>
      </c>
      <c r="C75" s="5" t="s">
        <v>102</v>
      </c>
    </row>
  </sheetData>
  <mergeCells count="13">
    <mergeCell ref="J48:M48"/>
    <mergeCell ref="B46:D46"/>
    <mergeCell ref="C36:D36"/>
    <mergeCell ref="B49:F49"/>
    <mergeCell ref="B59:F59"/>
    <mergeCell ref="B1:F1"/>
    <mergeCell ref="B32:F32"/>
    <mergeCell ref="B54:F54"/>
    <mergeCell ref="B57:F57"/>
    <mergeCell ref="B44:D44"/>
    <mergeCell ref="B48:F48"/>
    <mergeCell ref="B45:D45"/>
    <mergeCell ref="B33:F33"/>
  </mergeCells>
  <pageMargins left="0.7" right="0.7" top="0.75" bottom="0.75" header="0.3" footer="0.3"/>
  <pageSetup paperSize="9"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opLeftCell="A19" workbookViewId="0">
      <selection activeCell="A32" sqref="A32:XFD32"/>
    </sheetView>
  </sheetViews>
  <sheetFormatPr defaultRowHeight="15" x14ac:dyDescent="0.25"/>
  <cols>
    <col min="1" max="1" width="18.85546875" customWidth="1"/>
    <col min="2" max="2" width="39.28515625" customWidth="1"/>
    <col min="3" max="3" width="19.28515625" customWidth="1"/>
    <col min="4" max="4" width="22.7109375" customWidth="1"/>
    <col min="5" max="5" width="21.28515625" customWidth="1"/>
    <col min="6" max="6" width="21.85546875" customWidth="1"/>
    <col min="7" max="7" width="23.5703125" customWidth="1"/>
    <col min="8" max="8" width="20.5703125" customWidth="1"/>
    <col min="9" max="9" width="5.7109375" customWidth="1"/>
    <col min="10" max="10" width="14.85546875" customWidth="1"/>
    <col min="11" max="11" width="12.42578125" customWidth="1"/>
    <col min="12" max="12" width="14.42578125" customWidth="1"/>
    <col min="13" max="13" width="13.140625" customWidth="1"/>
    <col min="14" max="14" width="5.7109375" customWidth="1"/>
    <col min="15" max="15" width="13.42578125" customWidth="1"/>
    <col min="16" max="16" width="14.42578125" customWidth="1"/>
    <col min="17" max="17" width="13" customWidth="1"/>
    <col min="18" max="18" width="13.42578125" customWidth="1"/>
  </cols>
  <sheetData>
    <row r="1" spans="2:6" x14ac:dyDescent="0.25">
      <c r="B1" s="61" t="s">
        <v>41</v>
      </c>
      <c r="C1" s="61"/>
      <c r="D1" s="61"/>
      <c r="E1" s="61"/>
      <c r="F1" s="61"/>
    </row>
    <row r="2" spans="2:6" x14ac:dyDescent="0.25">
      <c r="E2" t="s">
        <v>29</v>
      </c>
      <c r="F2" t="s">
        <v>29</v>
      </c>
    </row>
    <row r="3" spans="2:6" x14ac:dyDescent="0.25">
      <c r="B3" s="10" t="s">
        <v>0</v>
      </c>
      <c r="C3" s="10" t="s">
        <v>1</v>
      </c>
      <c r="D3" s="10" t="s">
        <v>2</v>
      </c>
      <c r="E3" t="s">
        <v>42</v>
      </c>
      <c r="F3" t="s">
        <v>43</v>
      </c>
    </row>
    <row r="4" spans="2:6" x14ac:dyDescent="0.25">
      <c r="B4" s="2"/>
      <c r="C4" s="2"/>
      <c r="D4" s="2"/>
      <c r="E4" s="2" t="s">
        <v>3</v>
      </c>
      <c r="F4" s="2" t="s">
        <v>3</v>
      </c>
    </row>
    <row r="5" spans="2:6" x14ac:dyDescent="0.25">
      <c r="B5" t="s">
        <v>5</v>
      </c>
      <c r="C5" t="s">
        <v>20</v>
      </c>
      <c r="D5" t="s">
        <v>20</v>
      </c>
      <c r="E5">
        <v>6</v>
      </c>
      <c r="F5">
        <v>6</v>
      </c>
    </row>
    <row r="6" spans="2:6" x14ac:dyDescent="0.25">
      <c r="B6" t="s">
        <v>24</v>
      </c>
      <c r="C6" t="s">
        <v>20</v>
      </c>
      <c r="D6" t="s">
        <v>20</v>
      </c>
      <c r="E6">
        <v>27</v>
      </c>
      <c r="F6">
        <v>27</v>
      </c>
    </row>
    <row r="7" spans="2:6" x14ac:dyDescent="0.25">
      <c r="B7" s="1" t="s">
        <v>23</v>
      </c>
      <c r="C7" t="s">
        <v>20</v>
      </c>
      <c r="D7" t="s">
        <v>20</v>
      </c>
      <c r="E7">
        <v>19</v>
      </c>
      <c r="F7">
        <v>19</v>
      </c>
    </row>
    <row r="8" spans="2:6" x14ac:dyDescent="0.25">
      <c r="B8" t="s">
        <v>22</v>
      </c>
      <c r="C8" t="s">
        <v>20</v>
      </c>
      <c r="D8" t="s">
        <v>20</v>
      </c>
      <c r="E8">
        <v>39</v>
      </c>
      <c r="F8">
        <v>39</v>
      </c>
    </row>
    <row r="9" spans="2:6" x14ac:dyDescent="0.25">
      <c r="B9" t="s">
        <v>13</v>
      </c>
      <c r="C9" t="s">
        <v>20</v>
      </c>
      <c r="D9" t="s">
        <v>20</v>
      </c>
      <c r="E9">
        <v>125</v>
      </c>
      <c r="F9">
        <v>125</v>
      </c>
    </row>
    <row r="10" spans="2:6" x14ac:dyDescent="0.25">
      <c r="B10" t="s">
        <v>30</v>
      </c>
      <c r="C10" t="s">
        <v>20</v>
      </c>
      <c r="D10" t="s">
        <v>20</v>
      </c>
      <c r="E10">
        <v>36</v>
      </c>
      <c r="F10">
        <v>36</v>
      </c>
    </row>
    <row r="11" spans="2:6" x14ac:dyDescent="0.25">
      <c r="B11" t="s">
        <v>25</v>
      </c>
      <c r="C11" t="s">
        <v>20</v>
      </c>
      <c r="D11" t="s">
        <v>20</v>
      </c>
      <c r="E11">
        <v>118</v>
      </c>
      <c r="F11">
        <v>118</v>
      </c>
    </row>
    <row r="12" spans="2:6" x14ac:dyDescent="0.25">
      <c r="B12" t="s">
        <v>26</v>
      </c>
      <c r="C12" t="s">
        <v>20</v>
      </c>
      <c r="D12" t="s">
        <v>20</v>
      </c>
      <c r="E12">
        <v>71</v>
      </c>
      <c r="F12">
        <v>71</v>
      </c>
    </row>
    <row r="13" spans="2:6" x14ac:dyDescent="0.25">
      <c r="B13" t="s">
        <v>27</v>
      </c>
      <c r="C13" t="s">
        <v>20</v>
      </c>
      <c r="D13" t="s">
        <v>20</v>
      </c>
      <c r="E13">
        <v>251</v>
      </c>
      <c r="F13">
        <v>251</v>
      </c>
    </row>
    <row r="14" spans="2:6" x14ac:dyDescent="0.25">
      <c r="B14" t="s">
        <v>28</v>
      </c>
      <c r="C14" t="s">
        <v>20</v>
      </c>
      <c r="D14" t="s">
        <v>20</v>
      </c>
      <c r="E14">
        <v>125</v>
      </c>
      <c r="F14">
        <v>125</v>
      </c>
    </row>
    <row r="15" spans="2:6" x14ac:dyDescent="0.25">
      <c r="B15" t="s">
        <v>18</v>
      </c>
      <c r="C15" t="s">
        <v>21</v>
      </c>
      <c r="D15" t="s">
        <v>20</v>
      </c>
      <c r="E15">
        <v>4</v>
      </c>
      <c r="F15">
        <v>4</v>
      </c>
    </row>
    <row r="16" spans="2:6" x14ac:dyDescent="0.25">
      <c r="B16" t="s">
        <v>14</v>
      </c>
      <c r="C16" t="s">
        <v>20</v>
      </c>
      <c r="D16" t="s">
        <v>21</v>
      </c>
      <c r="E16">
        <v>7</v>
      </c>
      <c r="F16" s="5" t="s">
        <v>9</v>
      </c>
    </row>
    <row r="17" spans="2:6" x14ac:dyDescent="0.25">
      <c r="B17" t="s">
        <v>15</v>
      </c>
      <c r="C17" t="s">
        <v>20</v>
      </c>
      <c r="D17" t="s">
        <v>20</v>
      </c>
      <c r="E17">
        <v>5</v>
      </c>
      <c r="F17">
        <v>5</v>
      </c>
    </row>
    <row r="18" spans="2:6" x14ac:dyDescent="0.25">
      <c r="B18" t="s">
        <v>16</v>
      </c>
      <c r="C18" t="s">
        <v>20</v>
      </c>
      <c r="D18" t="s">
        <v>20</v>
      </c>
      <c r="E18">
        <v>5</v>
      </c>
      <c r="F18">
        <v>5</v>
      </c>
    </row>
    <row r="19" spans="2:6" x14ac:dyDescent="0.25">
      <c r="B19" t="s">
        <v>8</v>
      </c>
      <c r="C19" t="s">
        <v>20</v>
      </c>
      <c r="D19" t="s">
        <v>21</v>
      </c>
      <c r="E19">
        <v>38</v>
      </c>
      <c r="F19" s="5" t="s">
        <v>9</v>
      </c>
    </row>
    <row r="20" spans="2:6" x14ac:dyDescent="0.25">
      <c r="B20" t="s">
        <v>19</v>
      </c>
      <c r="C20" t="s">
        <v>21</v>
      </c>
      <c r="D20" t="s">
        <v>20</v>
      </c>
      <c r="E20" s="5" t="s">
        <v>9</v>
      </c>
      <c r="F20">
        <v>26</v>
      </c>
    </row>
    <row r="21" spans="2:6" x14ac:dyDescent="0.25">
      <c r="B21" t="s">
        <v>7</v>
      </c>
      <c r="C21" t="s">
        <v>20</v>
      </c>
      <c r="D21" t="s">
        <v>20</v>
      </c>
      <c r="E21">
        <v>15</v>
      </c>
      <c r="F21">
        <v>15</v>
      </c>
    </row>
    <row r="22" spans="2:6" x14ac:dyDescent="0.25">
      <c r="B22" t="s">
        <v>11</v>
      </c>
      <c r="C22" t="s">
        <v>20</v>
      </c>
      <c r="D22" t="s">
        <v>20</v>
      </c>
      <c r="E22">
        <v>30</v>
      </c>
      <c r="F22">
        <v>30</v>
      </c>
    </row>
    <row r="23" spans="2:6" x14ac:dyDescent="0.25">
      <c r="B23" t="s">
        <v>10</v>
      </c>
      <c r="C23" t="s">
        <v>20</v>
      </c>
      <c r="D23" t="s">
        <v>20</v>
      </c>
      <c r="E23" t="s">
        <v>31</v>
      </c>
      <c r="F23" t="s">
        <v>31</v>
      </c>
    </row>
    <row r="24" spans="2:6" x14ac:dyDescent="0.25">
      <c r="B24" t="s">
        <v>12</v>
      </c>
      <c r="C24" t="s">
        <v>20</v>
      </c>
      <c r="D24" t="s">
        <v>20</v>
      </c>
      <c r="E24" t="s">
        <v>31</v>
      </c>
      <c r="F24" t="s">
        <v>31</v>
      </c>
    </row>
    <row r="25" spans="2:6" x14ac:dyDescent="0.25">
      <c r="B25" t="s">
        <v>17</v>
      </c>
      <c r="C25" t="s">
        <v>21</v>
      </c>
      <c r="D25" t="s">
        <v>20</v>
      </c>
      <c r="E25" t="s">
        <v>31</v>
      </c>
      <c r="F25" t="s">
        <v>31</v>
      </c>
    </row>
    <row r="26" spans="2:6" x14ac:dyDescent="0.25">
      <c r="B26" s="2" t="s">
        <v>6</v>
      </c>
      <c r="C26" s="2" t="s">
        <v>20</v>
      </c>
      <c r="D26" s="2" t="s">
        <v>20</v>
      </c>
      <c r="E26" s="2">
        <v>16</v>
      </c>
      <c r="F26" s="2">
        <v>16</v>
      </c>
    </row>
    <row r="27" spans="2:6" x14ac:dyDescent="0.25">
      <c r="B27" t="s">
        <v>32</v>
      </c>
      <c r="E27">
        <f>E5+E6+E7+E8+E9+E10+E11+E12+E13+E14+E15+E16+E17+E18+E19+E21+E22+E26</f>
        <v>937</v>
      </c>
      <c r="F27">
        <f>F5+F6+F7+F8+F9+F10+F11+F12+F13+F14+F15+F17+F18+F20+F21+F22+F26</f>
        <v>918</v>
      </c>
    </row>
    <row r="28" spans="2:6" x14ac:dyDescent="0.25">
      <c r="B28" s="16" t="s">
        <v>33</v>
      </c>
      <c r="C28" s="16"/>
      <c r="D28" s="16"/>
      <c r="E28" s="17">
        <f>E27*1.20685</f>
        <v>1130.81845</v>
      </c>
      <c r="F28" s="17">
        <f>F27*1.20685</f>
        <v>1107.8883000000001</v>
      </c>
    </row>
    <row r="30" spans="2:6" x14ac:dyDescent="0.25">
      <c r="B30" t="s">
        <v>36</v>
      </c>
      <c r="C30" t="s">
        <v>3</v>
      </c>
      <c r="E30">
        <f>E11+E12+E13+E14</f>
        <v>565</v>
      </c>
      <c r="F30">
        <f>F11+F12+F13+F14</f>
        <v>565</v>
      </c>
    </row>
    <row r="31" spans="2:6" x14ac:dyDescent="0.25">
      <c r="C31" t="s">
        <v>37</v>
      </c>
      <c r="E31" s="4">
        <f>E30*1.20685</f>
        <v>681.87024999999994</v>
      </c>
      <c r="F31" s="4">
        <f>F30*1.20685</f>
        <v>681.87024999999994</v>
      </c>
    </row>
    <row r="32" spans="2:6" ht="32.25" customHeight="1" x14ac:dyDescent="0.25">
      <c r="B32" s="62" t="s">
        <v>49</v>
      </c>
      <c r="C32" s="62"/>
      <c r="D32" s="62"/>
      <c r="E32" s="62"/>
      <c r="F32" s="62"/>
    </row>
    <row r="33" spans="1:18" ht="31.5" customHeight="1" x14ac:dyDescent="0.25">
      <c r="B33" s="64" t="s">
        <v>165</v>
      </c>
      <c r="C33" s="64"/>
      <c r="D33" s="64"/>
      <c r="E33" s="64"/>
      <c r="F33" s="64"/>
    </row>
    <row r="35" spans="1:18" x14ac:dyDescent="0.25">
      <c r="B35" s="19" t="s">
        <v>39</v>
      </c>
      <c r="C35" s="6"/>
      <c r="D35" s="6"/>
      <c r="E35" s="20">
        <v>25000</v>
      </c>
      <c r="F35" s="11"/>
    </row>
    <row r="36" spans="1:18" x14ac:dyDescent="0.25">
      <c r="B36" s="21" t="s">
        <v>34</v>
      </c>
      <c r="C36" s="65" t="s">
        <v>38</v>
      </c>
      <c r="D36" s="65"/>
      <c r="E36" s="33">
        <f>(E35/10000)+1</f>
        <v>3.5</v>
      </c>
      <c r="F36" s="11"/>
    </row>
    <row r="37" spans="1:18" x14ac:dyDescent="0.25">
      <c r="B37" s="22" t="s">
        <v>35</v>
      </c>
      <c r="C37" s="2"/>
      <c r="D37" s="2"/>
      <c r="E37" s="23">
        <v>4</v>
      </c>
      <c r="F37" s="11"/>
    </row>
    <row r="38" spans="1:18" x14ac:dyDescent="0.25">
      <c r="B38" s="24" t="s">
        <v>58</v>
      </c>
      <c r="C38" s="25"/>
      <c r="D38" s="25"/>
      <c r="E38" s="25"/>
      <c r="F38" s="11"/>
    </row>
    <row r="39" spans="1:18" x14ac:dyDescent="0.25">
      <c r="B39" s="24"/>
      <c r="C39" s="25"/>
      <c r="D39" s="25"/>
      <c r="E39" s="25"/>
      <c r="F39" s="11"/>
    </row>
    <row r="40" spans="1:18" ht="15.75" x14ac:dyDescent="0.25">
      <c r="B40" s="24"/>
      <c r="C40" s="25"/>
      <c r="D40" s="25"/>
      <c r="E40" s="12" t="s">
        <v>45</v>
      </c>
      <c r="F40" s="11"/>
      <c r="J40" s="10" t="s">
        <v>62</v>
      </c>
      <c r="O40" s="10" t="s">
        <v>68</v>
      </c>
    </row>
    <row r="41" spans="1:18" ht="45" x14ac:dyDescent="0.25">
      <c r="E41" s="13" t="s">
        <v>1</v>
      </c>
      <c r="F41" s="13" t="s">
        <v>2</v>
      </c>
      <c r="G41" s="18" t="s">
        <v>55</v>
      </c>
      <c r="H41" s="18" t="s">
        <v>56</v>
      </c>
      <c r="J41" s="10" t="s">
        <v>65</v>
      </c>
      <c r="K41" s="10" t="s">
        <v>66</v>
      </c>
      <c r="L41" s="32" t="s">
        <v>55</v>
      </c>
      <c r="M41" s="32" t="s">
        <v>56</v>
      </c>
      <c r="O41" s="10" t="s">
        <v>63</v>
      </c>
      <c r="P41" s="10" t="s">
        <v>64</v>
      </c>
      <c r="Q41" s="32" t="s">
        <v>55</v>
      </c>
      <c r="R41" s="32" t="s">
        <v>56</v>
      </c>
    </row>
    <row r="42" spans="1:18" x14ac:dyDescent="0.25">
      <c r="A42" s="26"/>
      <c r="B42" s="26"/>
      <c r="C42" s="26"/>
      <c r="D42" s="26"/>
      <c r="E42" s="27" t="s">
        <v>4</v>
      </c>
      <c r="F42" s="27" t="s">
        <v>4</v>
      </c>
      <c r="G42" s="27" t="s">
        <v>4</v>
      </c>
      <c r="H42" s="27" t="s">
        <v>4</v>
      </c>
      <c r="J42" s="27" t="s">
        <v>4</v>
      </c>
      <c r="K42" s="27" t="s">
        <v>4</v>
      </c>
      <c r="L42" s="27" t="s">
        <v>4</v>
      </c>
      <c r="M42" s="27" t="s">
        <v>4</v>
      </c>
      <c r="O42" s="27" t="s">
        <v>4</v>
      </c>
      <c r="P42" s="27" t="s">
        <v>4</v>
      </c>
      <c r="Q42" s="27" t="s">
        <v>4</v>
      </c>
      <c r="R42" s="27" t="s">
        <v>4</v>
      </c>
    </row>
    <row r="43" spans="1:18" x14ac:dyDescent="0.25">
      <c r="A43" s="28" t="s">
        <v>50</v>
      </c>
      <c r="B43" s="7" t="s">
        <v>54</v>
      </c>
      <c r="E43" s="8">
        <f>E28*4</f>
        <v>4523.2737999999999</v>
      </c>
      <c r="F43" s="8">
        <f>F28*4</f>
        <v>4431.5532000000003</v>
      </c>
      <c r="G43" s="3">
        <f>E43/E35</f>
        <v>0.18093095200000001</v>
      </c>
      <c r="H43" s="3">
        <f>F43/E35</f>
        <v>0.17726212800000002</v>
      </c>
      <c r="J43" s="4">
        <f>1650*1.20685</f>
        <v>1991.3025</v>
      </c>
      <c r="K43" s="4">
        <f>1450*1.20685</f>
        <v>1749.9324999999999</v>
      </c>
      <c r="L43" s="3">
        <f>J43/$E$35</f>
        <v>7.9652100000000003E-2</v>
      </c>
      <c r="M43" s="3">
        <f>K43/$E$35</f>
        <v>6.9997299999999998E-2</v>
      </c>
      <c r="O43" s="4">
        <f t="shared" ref="O43:P46" si="0">E43+J43</f>
        <v>6514.5762999999997</v>
      </c>
      <c r="P43" s="4">
        <f t="shared" si="0"/>
        <v>6181.4857000000002</v>
      </c>
      <c r="Q43" s="3">
        <f>O43/$E$35</f>
        <v>0.26058305199999998</v>
      </c>
      <c r="R43" s="3">
        <f>P43/$E$35</f>
        <v>0.247259428</v>
      </c>
    </row>
    <row r="44" spans="1:18" ht="29.25" customHeight="1" x14ac:dyDescent="0.25">
      <c r="A44" s="28" t="s">
        <v>51</v>
      </c>
      <c r="B44" s="63" t="s">
        <v>84</v>
      </c>
      <c r="C44" s="62"/>
      <c r="D44" s="62"/>
      <c r="E44" s="3">
        <f>(E28*4)-(3*E31)</f>
        <v>2477.6630500000001</v>
      </c>
      <c r="F44" s="3">
        <f>(F28*4)-(3*F31)</f>
        <v>2385.9424500000005</v>
      </c>
      <c r="G44" s="3">
        <f>E44/E35</f>
        <v>9.9106522000000002E-2</v>
      </c>
      <c r="H44" s="3">
        <f>F44/E35</f>
        <v>9.5437698000000015E-2</v>
      </c>
      <c r="J44" s="4">
        <f>J43</f>
        <v>1991.3025</v>
      </c>
      <c r="K44" s="4">
        <f>1300*1.20685</f>
        <v>1568.905</v>
      </c>
      <c r="L44" s="3">
        <f t="shared" ref="L44:M46" si="1">J44/$E$35</f>
        <v>7.9652100000000003E-2</v>
      </c>
      <c r="M44" s="3">
        <f t="shared" si="1"/>
        <v>6.2756199999999998E-2</v>
      </c>
      <c r="O44" s="4">
        <f t="shared" si="0"/>
        <v>4468.9655499999999</v>
      </c>
      <c r="P44" s="4">
        <f t="shared" si="0"/>
        <v>3954.8474500000002</v>
      </c>
      <c r="Q44" s="3">
        <f t="shared" ref="Q44:R46" si="2">O44/$E$35</f>
        <v>0.17875862200000001</v>
      </c>
      <c r="R44" s="3">
        <f t="shared" si="2"/>
        <v>0.158193898</v>
      </c>
    </row>
    <row r="45" spans="1:18" ht="30" customHeight="1" x14ac:dyDescent="0.25">
      <c r="A45" s="28" t="s">
        <v>52</v>
      </c>
      <c r="B45" s="63" t="s">
        <v>59</v>
      </c>
      <c r="C45" s="62"/>
      <c r="D45" s="62"/>
      <c r="E45" s="3">
        <f>E44</f>
        <v>2477.6630500000001</v>
      </c>
      <c r="F45" s="3">
        <f>F44</f>
        <v>2385.9424500000005</v>
      </c>
      <c r="G45" s="3">
        <f>E45/E35</f>
        <v>9.9106522000000002E-2</v>
      </c>
      <c r="H45" s="3">
        <f>F45/E35</f>
        <v>9.5437698000000015E-2</v>
      </c>
      <c r="J45" s="4">
        <f>J43</f>
        <v>1991.3025</v>
      </c>
      <c r="K45" s="4">
        <f>1300*1.20685</f>
        <v>1568.905</v>
      </c>
      <c r="L45" s="3">
        <f t="shared" si="1"/>
        <v>7.9652100000000003E-2</v>
      </c>
      <c r="M45" s="3">
        <f t="shared" si="1"/>
        <v>6.2756199999999998E-2</v>
      </c>
      <c r="O45" s="4">
        <f t="shared" si="0"/>
        <v>4468.9655499999999</v>
      </c>
      <c r="P45" s="4">
        <f t="shared" si="0"/>
        <v>3954.8474500000002</v>
      </c>
      <c r="Q45" s="3">
        <f t="shared" si="2"/>
        <v>0.17875862200000001</v>
      </c>
      <c r="R45" s="3">
        <f t="shared" si="2"/>
        <v>0.158193898</v>
      </c>
    </row>
    <row r="46" spans="1:18" ht="42.75" customHeight="1" x14ac:dyDescent="0.25">
      <c r="A46" s="29" t="s">
        <v>53</v>
      </c>
      <c r="B46" s="63" t="s">
        <v>70</v>
      </c>
      <c r="C46" s="62"/>
      <c r="D46" s="62"/>
      <c r="E46" s="3">
        <f>(E28*4)</f>
        <v>4523.2737999999999</v>
      </c>
      <c r="F46" s="3">
        <f>(F28*4)</f>
        <v>4431.5532000000003</v>
      </c>
      <c r="G46" s="3">
        <f>E46/E35</f>
        <v>0.18093095200000001</v>
      </c>
      <c r="H46" s="3">
        <f>F46/E35</f>
        <v>0.17726212800000002</v>
      </c>
      <c r="J46" s="4">
        <f>J43</f>
        <v>1991.3025</v>
      </c>
      <c r="K46" s="4">
        <f>2450*1.20685</f>
        <v>2956.7824999999998</v>
      </c>
      <c r="L46" s="3">
        <f t="shared" si="1"/>
        <v>7.9652100000000003E-2</v>
      </c>
      <c r="M46" s="3">
        <f t="shared" si="1"/>
        <v>0.1182713</v>
      </c>
      <c r="O46" s="4">
        <f t="shared" si="0"/>
        <v>6514.5762999999997</v>
      </c>
      <c r="P46" s="4">
        <f t="shared" si="0"/>
        <v>7388.3356999999996</v>
      </c>
      <c r="Q46" s="3">
        <f t="shared" si="2"/>
        <v>0.26058305199999998</v>
      </c>
      <c r="R46" s="3">
        <f t="shared" si="2"/>
        <v>0.29553342799999999</v>
      </c>
    </row>
    <row r="47" spans="1:18" ht="15" customHeight="1" x14ac:dyDescent="0.25">
      <c r="B47" s="7"/>
      <c r="E47" s="3"/>
      <c r="F47" s="3"/>
    </row>
    <row r="48" spans="1:18" ht="60" customHeight="1" x14ac:dyDescent="0.25">
      <c r="B48" s="63" t="s">
        <v>86</v>
      </c>
      <c r="C48" s="62"/>
      <c r="D48" s="62"/>
      <c r="E48" s="62"/>
      <c r="F48" s="62"/>
      <c r="J48" s="62" t="s">
        <v>107</v>
      </c>
      <c r="K48" s="62"/>
      <c r="L48" s="62"/>
      <c r="M48" s="62"/>
    </row>
    <row r="49" spans="2:13" ht="36" customHeight="1" x14ac:dyDescent="0.25">
      <c r="B49" s="63" t="s">
        <v>60</v>
      </c>
      <c r="C49" s="62"/>
      <c r="D49" s="62"/>
      <c r="E49" s="62"/>
      <c r="F49" s="62"/>
      <c r="J49" s="62" t="s">
        <v>67</v>
      </c>
      <c r="K49" s="62"/>
      <c r="L49" s="62"/>
      <c r="M49" s="62"/>
    </row>
    <row r="51" spans="2:13" x14ac:dyDescent="0.25">
      <c r="B51" s="14"/>
    </row>
    <row r="52" spans="2:13" x14ac:dyDescent="0.25">
      <c r="B52" s="14"/>
    </row>
    <row r="53" spans="2:13" x14ac:dyDescent="0.25">
      <c r="B53" s="15"/>
    </row>
    <row r="54" spans="2:13" x14ac:dyDescent="0.25">
      <c r="B54" s="62"/>
      <c r="C54" s="62"/>
      <c r="D54" s="62"/>
      <c r="E54" s="62"/>
      <c r="F54" s="62"/>
    </row>
    <row r="56" spans="2:13" x14ac:dyDescent="0.25">
      <c r="B56" s="15"/>
    </row>
    <row r="57" spans="2:13" x14ac:dyDescent="0.25">
      <c r="B57" s="62"/>
      <c r="C57" s="62"/>
      <c r="D57" s="62"/>
      <c r="E57" s="62"/>
      <c r="F57" s="62"/>
    </row>
    <row r="59" spans="2:13" x14ac:dyDescent="0.25">
      <c r="B59" s="62"/>
      <c r="C59" s="62"/>
      <c r="D59" s="62"/>
      <c r="E59" s="62"/>
      <c r="F59" s="62"/>
    </row>
    <row r="60" spans="2:13" x14ac:dyDescent="0.25">
      <c r="C60" s="11"/>
      <c r="D60" s="11"/>
      <c r="E60" s="11"/>
      <c r="F60" s="11"/>
    </row>
  </sheetData>
  <mergeCells count="14">
    <mergeCell ref="B1:F1"/>
    <mergeCell ref="B32:F32"/>
    <mergeCell ref="C36:D36"/>
    <mergeCell ref="B44:D44"/>
    <mergeCell ref="B45:D45"/>
    <mergeCell ref="B33:F33"/>
    <mergeCell ref="B54:F54"/>
    <mergeCell ref="B57:F57"/>
    <mergeCell ref="B59:F59"/>
    <mergeCell ref="B46:D46"/>
    <mergeCell ref="J48:M48"/>
    <mergeCell ref="J49:M49"/>
    <mergeCell ref="B48:F48"/>
    <mergeCell ref="B49:F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workbookViewId="0">
      <selection activeCell="B19" sqref="B19"/>
    </sheetView>
  </sheetViews>
  <sheetFormatPr defaultRowHeight="15" x14ac:dyDescent="0.25"/>
  <cols>
    <col min="1" max="1" width="18.85546875" customWidth="1"/>
    <col min="2" max="2" width="39.28515625" customWidth="1"/>
    <col min="3" max="3" width="19.28515625" customWidth="1"/>
    <col min="4" max="4" width="22.7109375" customWidth="1"/>
    <col min="5" max="5" width="21.28515625" customWidth="1"/>
    <col min="6" max="6" width="21.85546875" customWidth="1"/>
    <col min="7" max="7" width="23.5703125" customWidth="1"/>
    <col min="8" max="8" width="20.5703125" customWidth="1"/>
    <col min="9" max="9" width="5.7109375" customWidth="1"/>
    <col min="10" max="10" width="14.85546875" customWidth="1"/>
    <col min="11" max="11" width="12.42578125" customWidth="1"/>
    <col min="12" max="12" width="14.42578125" customWidth="1"/>
    <col min="13" max="13" width="13.140625" customWidth="1"/>
    <col min="14" max="14" width="5.7109375" customWidth="1"/>
    <col min="15" max="15" width="13.42578125" customWidth="1"/>
    <col min="16" max="16" width="14.42578125" customWidth="1"/>
    <col min="17" max="17" width="13" customWidth="1"/>
    <col min="18" max="18" width="13.42578125" customWidth="1"/>
  </cols>
  <sheetData>
    <row r="1" spans="2:6" x14ac:dyDescent="0.25">
      <c r="B1" s="61" t="s">
        <v>41</v>
      </c>
      <c r="C1" s="61"/>
      <c r="D1" s="61"/>
      <c r="E1" s="61"/>
      <c r="F1" s="61"/>
    </row>
    <row r="2" spans="2:6" x14ac:dyDescent="0.25">
      <c r="E2" t="s">
        <v>29</v>
      </c>
      <c r="F2" t="s">
        <v>29</v>
      </c>
    </row>
    <row r="3" spans="2:6" x14ac:dyDescent="0.25">
      <c r="B3" s="10" t="s">
        <v>0</v>
      </c>
      <c r="C3" s="10" t="s">
        <v>1</v>
      </c>
      <c r="D3" s="10" t="s">
        <v>2</v>
      </c>
      <c r="E3" t="s">
        <v>42</v>
      </c>
      <c r="F3" t="s">
        <v>43</v>
      </c>
    </row>
    <row r="4" spans="2:6" x14ac:dyDescent="0.25">
      <c r="B4" s="2"/>
      <c r="C4" s="2"/>
      <c r="D4" s="2"/>
      <c r="E4" s="2" t="s">
        <v>3</v>
      </c>
      <c r="F4" s="2" t="s">
        <v>3</v>
      </c>
    </row>
    <row r="5" spans="2:6" x14ac:dyDescent="0.25">
      <c r="B5" t="s">
        <v>5</v>
      </c>
      <c r="C5" t="s">
        <v>20</v>
      </c>
      <c r="D5" t="s">
        <v>20</v>
      </c>
      <c r="E5">
        <v>6</v>
      </c>
      <c r="F5">
        <v>6</v>
      </c>
    </row>
    <row r="6" spans="2:6" x14ac:dyDescent="0.25">
      <c r="B6" t="s">
        <v>24</v>
      </c>
      <c r="C6" t="s">
        <v>20</v>
      </c>
      <c r="D6" t="s">
        <v>20</v>
      </c>
      <c r="E6">
        <v>27</v>
      </c>
      <c r="F6">
        <v>27</v>
      </c>
    </row>
    <row r="7" spans="2:6" x14ac:dyDescent="0.25">
      <c r="B7" s="1" t="s">
        <v>23</v>
      </c>
      <c r="C7" t="s">
        <v>20</v>
      </c>
      <c r="D7" t="s">
        <v>20</v>
      </c>
      <c r="E7">
        <v>19</v>
      </c>
      <c r="F7">
        <v>19</v>
      </c>
    </row>
    <row r="8" spans="2:6" x14ac:dyDescent="0.25">
      <c r="B8" t="s">
        <v>22</v>
      </c>
      <c r="C8" t="s">
        <v>20</v>
      </c>
      <c r="D8" t="s">
        <v>20</v>
      </c>
      <c r="E8">
        <v>39</v>
      </c>
      <c r="F8">
        <v>39</v>
      </c>
    </row>
    <row r="9" spans="2:6" x14ac:dyDescent="0.25">
      <c r="B9" t="s">
        <v>13</v>
      </c>
      <c r="C9" t="s">
        <v>20</v>
      </c>
      <c r="D9" t="s">
        <v>20</v>
      </c>
      <c r="E9">
        <v>125</v>
      </c>
      <c r="F9">
        <v>125</v>
      </c>
    </row>
    <row r="10" spans="2:6" x14ac:dyDescent="0.25">
      <c r="B10" t="s">
        <v>30</v>
      </c>
      <c r="C10" t="s">
        <v>20</v>
      </c>
      <c r="D10" t="s">
        <v>20</v>
      </c>
      <c r="E10">
        <v>36</v>
      </c>
      <c r="F10">
        <v>36</v>
      </c>
    </row>
    <row r="11" spans="2:6" x14ac:dyDescent="0.25">
      <c r="B11" t="s">
        <v>25</v>
      </c>
      <c r="C11" t="s">
        <v>20</v>
      </c>
      <c r="D11" t="s">
        <v>20</v>
      </c>
      <c r="E11">
        <v>118</v>
      </c>
      <c r="F11">
        <v>118</v>
      </c>
    </row>
    <row r="12" spans="2:6" x14ac:dyDescent="0.25">
      <c r="B12" t="s">
        <v>26</v>
      </c>
      <c r="C12" t="s">
        <v>20</v>
      </c>
      <c r="D12" t="s">
        <v>20</v>
      </c>
      <c r="E12">
        <v>71</v>
      </c>
      <c r="F12">
        <v>71</v>
      </c>
    </row>
    <row r="13" spans="2:6" x14ac:dyDescent="0.25">
      <c r="B13" t="s">
        <v>27</v>
      </c>
      <c r="C13" t="s">
        <v>20</v>
      </c>
      <c r="D13" t="s">
        <v>20</v>
      </c>
      <c r="E13">
        <v>251</v>
      </c>
      <c r="F13">
        <v>251</v>
      </c>
    </row>
    <row r="14" spans="2:6" x14ac:dyDescent="0.25">
      <c r="B14" t="s">
        <v>28</v>
      </c>
      <c r="C14" t="s">
        <v>20</v>
      </c>
      <c r="D14" t="s">
        <v>20</v>
      </c>
      <c r="E14">
        <v>125</v>
      </c>
      <c r="F14">
        <v>125</v>
      </c>
    </row>
    <row r="15" spans="2:6" x14ac:dyDescent="0.25">
      <c r="B15" t="s">
        <v>18</v>
      </c>
      <c r="C15" t="s">
        <v>21</v>
      </c>
      <c r="D15" t="s">
        <v>20</v>
      </c>
      <c r="E15">
        <v>4</v>
      </c>
      <c r="F15">
        <v>4</v>
      </c>
    </row>
    <row r="16" spans="2:6" x14ac:dyDescent="0.25">
      <c r="B16" t="s">
        <v>14</v>
      </c>
      <c r="C16" t="s">
        <v>20</v>
      </c>
      <c r="D16" t="s">
        <v>21</v>
      </c>
      <c r="E16">
        <v>7</v>
      </c>
      <c r="F16" s="5" t="s">
        <v>9</v>
      </c>
    </row>
    <row r="17" spans="2:6" x14ac:dyDescent="0.25">
      <c r="B17" t="s">
        <v>15</v>
      </c>
      <c r="C17" t="s">
        <v>20</v>
      </c>
      <c r="D17" t="s">
        <v>20</v>
      </c>
      <c r="E17">
        <v>5</v>
      </c>
      <c r="F17">
        <v>5</v>
      </c>
    </row>
    <row r="18" spans="2:6" x14ac:dyDescent="0.25">
      <c r="B18" t="s">
        <v>16</v>
      </c>
      <c r="C18" t="s">
        <v>20</v>
      </c>
      <c r="D18" t="s">
        <v>20</v>
      </c>
      <c r="E18">
        <v>5</v>
      </c>
      <c r="F18">
        <v>5</v>
      </c>
    </row>
    <row r="19" spans="2:6" x14ac:dyDescent="0.25">
      <c r="B19" t="s">
        <v>8</v>
      </c>
      <c r="C19" t="s">
        <v>20</v>
      </c>
      <c r="D19" t="s">
        <v>21</v>
      </c>
      <c r="E19">
        <v>38</v>
      </c>
      <c r="F19" s="5" t="s">
        <v>9</v>
      </c>
    </row>
    <row r="20" spans="2:6" x14ac:dyDescent="0.25">
      <c r="B20" t="s">
        <v>19</v>
      </c>
      <c r="C20" t="s">
        <v>21</v>
      </c>
      <c r="D20" t="s">
        <v>20</v>
      </c>
      <c r="E20" s="5" t="s">
        <v>9</v>
      </c>
      <c r="F20">
        <v>26</v>
      </c>
    </row>
    <row r="21" spans="2:6" x14ac:dyDescent="0.25">
      <c r="B21" t="s">
        <v>7</v>
      </c>
      <c r="C21" t="s">
        <v>20</v>
      </c>
      <c r="D21" t="s">
        <v>20</v>
      </c>
      <c r="E21">
        <v>15</v>
      </c>
      <c r="F21">
        <v>15</v>
      </c>
    </row>
    <row r="22" spans="2:6" x14ac:dyDescent="0.25">
      <c r="B22" t="s">
        <v>11</v>
      </c>
      <c r="C22" t="s">
        <v>20</v>
      </c>
      <c r="D22" t="s">
        <v>20</v>
      </c>
      <c r="E22">
        <v>30</v>
      </c>
      <c r="F22">
        <v>30</v>
      </c>
    </row>
    <row r="23" spans="2:6" x14ac:dyDescent="0.25">
      <c r="B23" t="s">
        <v>10</v>
      </c>
      <c r="C23" t="s">
        <v>20</v>
      </c>
      <c r="D23" t="s">
        <v>20</v>
      </c>
      <c r="E23" t="s">
        <v>31</v>
      </c>
      <c r="F23" t="s">
        <v>31</v>
      </c>
    </row>
    <row r="24" spans="2:6" x14ac:dyDescent="0.25">
      <c r="B24" t="s">
        <v>12</v>
      </c>
      <c r="C24" t="s">
        <v>20</v>
      </c>
      <c r="D24" t="s">
        <v>20</v>
      </c>
      <c r="E24" t="s">
        <v>31</v>
      </c>
      <c r="F24" t="s">
        <v>31</v>
      </c>
    </row>
    <row r="25" spans="2:6" x14ac:dyDescent="0.25">
      <c r="B25" t="s">
        <v>17</v>
      </c>
      <c r="C25" t="s">
        <v>21</v>
      </c>
      <c r="D25" t="s">
        <v>20</v>
      </c>
      <c r="E25" t="s">
        <v>31</v>
      </c>
      <c r="F25" t="s">
        <v>31</v>
      </c>
    </row>
    <row r="26" spans="2:6" x14ac:dyDescent="0.25">
      <c r="B26" s="2" t="s">
        <v>6</v>
      </c>
      <c r="C26" s="2" t="s">
        <v>20</v>
      </c>
      <c r="D26" s="2" t="s">
        <v>20</v>
      </c>
      <c r="E26" s="2">
        <v>16</v>
      </c>
      <c r="F26" s="2">
        <v>16</v>
      </c>
    </row>
    <row r="27" spans="2:6" x14ac:dyDescent="0.25">
      <c r="B27" t="s">
        <v>32</v>
      </c>
      <c r="E27">
        <f>E5+E6+E7+E8+E9+E10+E11+E12+E13+E14+E15+E16+E17+E18+E19+E21+E22+E26</f>
        <v>937</v>
      </c>
      <c r="F27">
        <f>F5+F6+F7+F8+F9+F10+F11+F12+F13+F14+F15+F17+F18+F20+F21+F22+F26</f>
        <v>918</v>
      </c>
    </row>
    <row r="28" spans="2:6" x14ac:dyDescent="0.25">
      <c r="B28" s="16" t="s">
        <v>33</v>
      </c>
      <c r="C28" s="16"/>
      <c r="D28" s="16"/>
      <c r="E28" s="17">
        <f>E27*1.20685</f>
        <v>1130.81845</v>
      </c>
      <c r="F28" s="17">
        <f>F27*1.20685</f>
        <v>1107.8883000000001</v>
      </c>
    </row>
    <row r="30" spans="2:6" x14ac:dyDescent="0.25">
      <c r="B30" t="s">
        <v>36</v>
      </c>
      <c r="C30" t="s">
        <v>3</v>
      </c>
      <c r="E30">
        <f>E11+E12+E13+E14</f>
        <v>565</v>
      </c>
      <c r="F30">
        <f>F11+F12+F13+F14</f>
        <v>565</v>
      </c>
    </row>
    <row r="31" spans="2:6" x14ac:dyDescent="0.25">
      <c r="C31" t="s">
        <v>37</v>
      </c>
      <c r="E31" s="4">
        <f>E30*1.20685</f>
        <v>681.87024999999994</v>
      </c>
      <c r="F31" s="4">
        <f>F30*1.20685</f>
        <v>681.87024999999994</v>
      </c>
    </row>
    <row r="32" spans="2:6" ht="32.25" customHeight="1" x14ac:dyDescent="0.25">
      <c r="B32" s="62" t="s">
        <v>49</v>
      </c>
      <c r="C32" s="62"/>
      <c r="D32" s="62"/>
      <c r="E32" s="62"/>
      <c r="F32" s="62"/>
    </row>
    <row r="33" spans="1:18" ht="31.5" customHeight="1" x14ac:dyDescent="0.25">
      <c r="B33" s="64" t="s">
        <v>165</v>
      </c>
      <c r="C33" s="64"/>
      <c r="D33" s="64"/>
      <c r="E33" s="64"/>
      <c r="F33" s="64"/>
    </row>
    <row r="34" spans="1:18" x14ac:dyDescent="0.25">
      <c r="B34" s="11"/>
      <c r="C34" s="11"/>
      <c r="D34" s="11"/>
      <c r="E34" s="11"/>
      <c r="F34" s="11"/>
    </row>
    <row r="35" spans="1:18" x14ac:dyDescent="0.25">
      <c r="B35" s="19" t="s">
        <v>39</v>
      </c>
      <c r="C35" s="6"/>
      <c r="D35" s="6"/>
      <c r="E35" s="20">
        <v>50000</v>
      </c>
      <c r="F35" s="11"/>
    </row>
    <row r="36" spans="1:18" x14ac:dyDescent="0.25">
      <c r="B36" s="21" t="s">
        <v>34</v>
      </c>
      <c r="C36" s="65" t="s">
        <v>38</v>
      </c>
      <c r="D36" s="65"/>
      <c r="E36" s="33">
        <f>(E35/10000)+1</f>
        <v>6</v>
      </c>
      <c r="F36" s="11"/>
    </row>
    <row r="37" spans="1:18" x14ac:dyDescent="0.25">
      <c r="B37" s="22" t="s">
        <v>35</v>
      </c>
      <c r="C37" s="2"/>
      <c r="D37" s="2"/>
      <c r="E37" s="23">
        <v>6</v>
      </c>
      <c r="F37" s="11"/>
    </row>
    <row r="38" spans="1:18" x14ac:dyDescent="0.25">
      <c r="B38" s="24" t="s">
        <v>58</v>
      </c>
      <c r="C38" s="25"/>
      <c r="D38" s="25"/>
      <c r="E38" s="25"/>
      <c r="F38" s="11"/>
    </row>
    <row r="39" spans="1:18" x14ac:dyDescent="0.25">
      <c r="B39" s="24"/>
      <c r="C39" s="25"/>
      <c r="D39" s="25"/>
      <c r="E39" s="25"/>
      <c r="F39" s="11"/>
    </row>
    <row r="40" spans="1:18" ht="15.75" x14ac:dyDescent="0.25">
      <c r="B40" s="24"/>
      <c r="C40" s="25"/>
      <c r="D40" s="25"/>
      <c r="E40" s="12" t="s">
        <v>45</v>
      </c>
      <c r="F40" s="11"/>
      <c r="J40" s="10" t="s">
        <v>62</v>
      </c>
      <c r="O40" s="10" t="s">
        <v>68</v>
      </c>
    </row>
    <row r="41" spans="1:18" ht="45" x14ac:dyDescent="0.25">
      <c r="E41" s="13" t="s">
        <v>1</v>
      </c>
      <c r="F41" s="13" t="s">
        <v>2</v>
      </c>
      <c r="G41" s="18" t="s">
        <v>55</v>
      </c>
      <c r="H41" s="18" t="s">
        <v>56</v>
      </c>
      <c r="J41" s="10" t="s">
        <v>65</v>
      </c>
      <c r="K41" s="10" t="s">
        <v>66</v>
      </c>
      <c r="L41" s="32" t="s">
        <v>55</v>
      </c>
      <c r="M41" s="32" t="s">
        <v>56</v>
      </c>
      <c r="O41" s="10" t="s">
        <v>63</v>
      </c>
      <c r="P41" s="10" t="s">
        <v>64</v>
      </c>
      <c r="Q41" s="32" t="s">
        <v>55</v>
      </c>
      <c r="R41" s="32" t="s">
        <v>56</v>
      </c>
    </row>
    <row r="42" spans="1:18" x14ac:dyDescent="0.25">
      <c r="A42" s="26"/>
      <c r="B42" s="26"/>
      <c r="C42" s="26"/>
      <c r="D42" s="26"/>
      <c r="E42" s="27" t="s">
        <v>4</v>
      </c>
      <c r="F42" s="27" t="s">
        <v>4</v>
      </c>
      <c r="G42" s="27" t="s">
        <v>4</v>
      </c>
      <c r="H42" s="27" t="s">
        <v>4</v>
      </c>
      <c r="J42" s="27" t="s">
        <v>4</v>
      </c>
      <c r="K42" s="27" t="s">
        <v>4</v>
      </c>
      <c r="L42" s="27" t="s">
        <v>4</v>
      </c>
      <c r="M42" s="27" t="s">
        <v>4</v>
      </c>
      <c r="O42" s="27" t="s">
        <v>4</v>
      </c>
      <c r="P42" s="27" t="s">
        <v>4</v>
      </c>
      <c r="Q42" s="27" t="s">
        <v>4</v>
      </c>
      <c r="R42" s="27" t="s">
        <v>4</v>
      </c>
    </row>
    <row r="43" spans="1:18" x14ac:dyDescent="0.25">
      <c r="A43" s="28" t="s">
        <v>50</v>
      </c>
      <c r="B43" s="7" t="s">
        <v>54</v>
      </c>
      <c r="E43" s="8">
        <f>E28*4</f>
        <v>4523.2737999999999</v>
      </c>
      <c r="F43" s="8">
        <f>F28*4</f>
        <v>4431.5532000000003</v>
      </c>
      <c r="G43" s="3">
        <f>E43/E35</f>
        <v>9.0465476000000003E-2</v>
      </c>
      <c r="H43" s="3">
        <f>F43/E35</f>
        <v>8.8631064000000009E-2</v>
      </c>
      <c r="J43" s="4">
        <f>1750*1.20685</f>
        <v>2111.9875000000002</v>
      </c>
      <c r="K43" s="4">
        <f>1950*1.20685</f>
        <v>2353.3575000000001</v>
      </c>
      <c r="L43" s="3">
        <f>J43/$E$35</f>
        <v>4.2239750000000006E-2</v>
      </c>
      <c r="M43" s="3">
        <f>K43/$E$35</f>
        <v>4.7067150000000002E-2</v>
      </c>
      <c r="O43" s="4">
        <f t="shared" ref="O43:P46" si="0">E43+J43</f>
        <v>6635.2613000000001</v>
      </c>
      <c r="P43" s="4">
        <f t="shared" si="0"/>
        <v>6784.9107000000004</v>
      </c>
      <c r="Q43" s="3">
        <f>O43/$E$35</f>
        <v>0.13270522600000001</v>
      </c>
      <c r="R43" s="3">
        <f>P43/$E$35</f>
        <v>0.13569821400000001</v>
      </c>
    </row>
    <row r="44" spans="1:18" ht="29.25" customHeight="1" x14ac:dyDescent="0.25">
      <c r="A44" s="28" t="s">
        <v>51</v>
      </c>
      <c r="B44" s="63" t="s">
        <v>85</v>
      </c>
      <c r="C44" s="62"/>
      <c r="D44" s="62"/>
      <c r="E44" s="3">
        <f>(E28*6)-(5*E31)</f>
        <v>3375.5594500000007</v>
      </c>
      <c r="F44" s="3">
        <f>(F28*6)-(5*F31)</f>
        <v>3237.9785500000007</v>
      </c>
      <c r="G44" s="3">
        <f>E44/E35</f>
        <v>6.7511189000000013E-2</v>
      </c>
      <c r="H44" s="3">
        <f>F44/E35</f>
        <v>6.4759571000000016E-2</v>
      </c>
      <c r="J44" s="4">
        <f>J43</f>
        <v>2111.9875000000002</v>
      </c>
      <c r="K44" s="4">
        <f>1750*1.20685</f>
        <v>2111.9875000000002</v>
      </c>
      <c r="L44" s="3">
        <f t="shared" ref="L44:M46" si="1">J44/$E$35</f>
        <v>4.2239750000000006E-2</v>
      </c>
      <c r="M44" s="3">
        <f t="shared" si="1"/>
        <v>4.2239750000000006E-2</v>
      </c>
      <c r="O44" s="4">
        <f t="shared" si="0"/>
        <v>5487.5469500000008</v>
      </c>
      <c r="P44" s="4">
        <f t="shared" si="0"/>
        <v>5349.9660500000009</v>
      </c>
      <c r="Q44" s="3">
        <f t="shared" ref="Q44:R46" si="2">O44/$E$35</f>
        <v>0.10975093900000002</v>
      </c>
      <c r="R44" s="3">
        <f t="shared" si="2"/>
        <v>0.10699932100000002</v>
      </c>
    </row>
    <row r="45" spans="1:18" ht="30" customHeight="1" x14ac:dyDescent="0.25">
      <c r="A45" s="28" t="s">
        <v>52</v>
      </c>
      <c r="B45" s="63" t="s">
        <v>76</v>
      </c>
      <c r="C45" s="62"/>
      <c r="D45" s="62"/>
      <c r="E45" s="3">
        <f>E44</f>
        <v>3375.5594500000007</v>
      </c>
      <c r="F45" s="3">
        <f>F44</f>
        <v>3237.9785500000007</v>
      </c>
      <c r="G45" s="3">
        <f>E45/E35</f>
        <v>6.7511189000000013E-2</v>
      </c>
      <c r="H45" s="3">
        <f>F45/E35</f>
        <v>6.4759571000000016E-2</v>
      </c>
      <c r="J45" s="4">
        <f>J43</f>
        <v>2111.9875000000002</v>
      </c>
      <c r="K45" s="4">
        <f>1750*1.20685</f>
        <v>2111.9875000000002</v>
      </c>
      <c r="L45" s="3">
        <f t="shared" si="1"/>
        <v>4.2239750000000006E-2</v>
      </c>
      <c r="M45" s="3">
        <f t="shared" si="1"/>
        <v>4.2239750000000006E-2</v>
      </c>
      <c r="O45" s="4">
        <f t="shared" si="0"/>
        <v>5487.5469500000008</v>
      </c>
      <c r="P45" s="4">
        <f t="shared" si="0"/>
        <v>5349.9660500000009</v>
      </c>
      <c r="Q45" s="3">
        <f t="shared" si="2"/>
        <v>0.10975093900000002</v>
      </c>
      <c r="R45" s="3">
        <f t="shared" si="2"/>
        <v>0.10699932100000002</v>
      </c>
    </row>
    <row r="46" spans="1:18" ht="42.75" customHeight="1" x14ac:dyDescent="0.25">
      <c r="A46" s="29" t="s">
        <v>53</v>
      </c>
      <c r="B46" s="63" t="s">
        <v>69</v>
      </c>
      <c r="C46" s="62"/>
      <c r="D46" s="62"/>
      <c r="E46" s="3">
        <f>(E28*6)-(E31*2)</f>
        <v>5421.1702000000005</v>
      </c>
      <c r="F46" s="3">
        <f>(F28*6)-(F31*2)</f>
        <v>5283.5893000000005</v>
      </c>
      <c r="G46" s="3">
        <f>E46/E35</f>
        <v>0.10842340400000001</v>
      </c>
      <c r="H46" s="3">
        <f>F46/E35</f>
        <v>0.10567178600000002</v>
      </c>
      <c r="J46" s="4">
        <f>J43</f>
        <v>2111.9875000000002</v>
      </c>
      <c r="K46" s="4">
        <f>3300*1.20685</f>
        <v>3982.605</v>
      </c>
      <c r="L46" s="3">
        <f t="shared" si="1"/>
        <v>4.2239750000000006E-2</v>
      </c>
      <c r="M46" s="3">
        <f t="shared" si="1"/>
        <v>7.9652100000000003E-2</v>
      </c>
      <c r="O46" s="4">
        <f t="shared" si="0"/>
        <v>7533.1577000000007</v>
      </c>
      <c r="P46" s="4">
        <f t="shared" si="0"/>
        <v>9266.194300000001</v>
      </c>
      <c r="Q46" s="3">
        <f t="shared" si="2"/>
        <v>0.15066315400000002</v>
      </c>
      <c r="R46" s="3">
        <f t="shared" si="2"/>
        <v>0.18532388600000002</v>
      </c>
    </row>
    <row r="47" spans="1:18" ht="15" customHeight="1" x14ac:dyDescent="0.25">
      <c r="B47" s="7"/>
      <c r="E47" s="3"/>
      <c r="F47" s="3"/>
    </row>
    <row r="48" spans="1:18" ht="47.25" customHeight="1" x14ac:dyDescent="0.25">
      <c r="B48" s="63" t="s">
        <v>87</v>
      </c>
      <c r="C48" s="62"/>
      <c r="D48" s="62"/>
      <c r="E48" s="62"/>
      <c r="F48" s="62"/>
      <c r="J48" s="62" t="s">
        <v>105</v>
      </c>
      <c r="K48" s="62"/>
      <c r="L48" s="62"/>
      <c r="M48" s="62"/>
    </row>
    <row r="49" spans="2:13" ht="36" customHeight="1" x14ac:dyDescent="0.25">
      <c r="B49" s="63" t="s">
        <v>60</v>
      </c>
      <c r="C49" s="62"/>
      <c r="D49" s="62"/>
      <c r="E49" s="62"/>
      <c r="F49" s="62"/>
      <c r="J49" s="62" t="s">
        <v>67</v>
      </c>
      <c r="K49" s="62"/>
      <c r="L49" s="62"/>
      <c r="M49" s="62"/>
    </row>
    <row r="51" spans="2:13" x14ac:dyDescent="0.25">
      <c r="B51" s="14"/>
    </row>
    <row r="52" spans="2:13" x14ac:dyDescent="0.25">
      <c r="B52" s="14"/>
    </row>
    <row r="53" spans="2:13" x14ac:dyDescent="0.25">
      <c r="B53" s="15"/>
    </row>
    <row r="54" spans="2:13" x14ac:dyDescent="0.25">
      <c r="B54" s="62"/>
      <c r="C54" s="62"/>
      <c r="D54" s="62"/>
      <c r="E54" s="62"/>
      <c r="F54" s="62"/>
    </row>
    <row r="56" spans="2:13" x14ac:dyDescent="0.25">
      <c r="B56" s="15"/>
    </row>
    <row r="57" spans="2:13" x14ac:dyDescent="0.25">
      <c r="B57" s="62"/>
      <c r="C57" s="62"/>
      <c r="D57" s="62"/>
      <c r="E57" s="62"/>
      <c r="F57" s="62"/>
    </row>
    <row r="59" spans="2:13" x14ac:dyDescent="0.25">
      <c r="B59" s="62"/>
      <c r="C59" s="62"/>
      <c r="D59" s="62"/>
      <c r="E59" s="62"/>
      <c r="F59" s="62"/>
    </row>
    <row r="60" spans="2:13" x14ac:dyDescent="0.25">
      <c r="C60" s="11"/>
      <c r="D60" s="11"/>
      <c r="E60" s="11"/>
      <c r="F60" s="11"/>
    </row>
  </sheetData>
  <mergeCells count="14">
    <mergeCell ref="B59:F59"/>
    <mergeCell ref="B48:F48"/>
    <mergeCell ref="J48:M48"/>
    <mergeCell ref="B49:F49"/>
    <mergeCell ref="J49:M49"/>
    <mergeCell ref="B54:F54"/>
    <mergeCell ref="B57:F57"/>
    <mergeCell ref="B46:D46"/>
    <mergeCell ref="B1:F1"/>
    <mergeCell ref="B32:F32"/>
    <mergeCell ref="C36:D36"/>
    <mergeCell ref="B44:D44"/>
    <mergeCell ref="B45:D45"/>
    <mergeCell ref="B33:F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1"/>
  <sheetViews>
    <sheetView workbookViewId="0">
      <selection activeCell="B2" sqref="B2"/>
    </sheetView>
  </sheetViews>
  <sheetFormatPr defaultRowHeight="15" x14ac:dyDescent="0.25"/>
  <cols>
    <col min="2" max="2" width="20.85546875" customWidth="1"/>
    <col min="5" max="5" width="10.42578125" customWidth="1"/>
    <col min="16" max="16" width="12.28515625" customWidth="1"/>
    <col min="17" max="17" width="11.28515625" customWidth="1"/>
  </cols>
  <sheetData>
    <row r="2" spans="2:19" x14ac:dyDescent="0.25">
      <c r="B2" s="50" t="s">
        <v>108</v>
      </c>
      <c r="C2" s="36"/>
      <c r="D2" s="36"/>
      <c r="E2" s="50" t="s">
        <v>109</v>
      </c>
      <c r="F2" s="36"/>
      <c r="G2" s="36"/>
      <c r="H2" s="36"/>
      <c r="I2" s="36"/>
      <c r="J2" s="36"/>
      <c r="K2" s="36"/>
      <c r="L2" s="36"/>
      <c r="M2" s="36"/>
      <c r="N2" s="36"/>
      <c r="O2" s="36"/>
      <c r="P2" s="36"/>
    </row>
    <row r="4" spans="2:19" x14ac:dyDescent="0.25">
      <c r="B4" s="10" t="s">
        <v>110</v>
      </c>
    </row>
    <row r="5" spans="2:19" x14ac:dyDescent="0.25">
      <c r="B5" t="s">
        <v>111</v>
      </c>
    </row>
    <row r="6" spans="2:19" ht="33" customHeight="1" x14ac:dyDescent="0.25">
      <c r="B6" s="62" t="s">
        <v>112</v>
      </c>
      <c r="C6" s="62"/>
      <c r="D6" s="62"/>
      <c r="E6" s="62"/>
      <c r="F6" s="62"/>
      <c r="G6" s="62"/>
      <c r="H6" s="62"/>
      <c r="I6" s="62"/>
      <c r="J6" s="62"/>
      <c r="K6" s="62"/>
      <c r="L6" s="62"/>
      <c r="M6" s="62"/>
      <c r="N6" s="62"/>
      <c r="O6" s="62"/>
      <c r="P6" s="62"/>
      <c r="Q6" s="45"/>
      <c r="R6" s="45"/>
      <c r="S6" s="45"/>
    </row>
    <row r="7" spans="2:19" ht="31.5" customHeight="1" x14ac:dyDescent="0.25">
      <c r="B7" s="62" t="s">
        <v>113</v>
      </c>
      <c r="C7" s="62"/>
      <c r="D7" s="62"/>
      <c r="E7" s="62"/>
      <c r="F7" s="62"/>
      <c r="G7" s="62"/>
      <c r="H7" s="62"/>
      <c r="I7" s="62"/>
      <c r="J7" s="62"/>
      <c r="K7" s="62"/>
      <c r="L7" s="62"/>
      <c r="M7" s="62"/>
      <c r="N7" s="62"/>
      <c r="O7" s="62"/>
      <c r="P7" s="62"/>
    </row>
    <row r="8" spans="2:19" ht="33.75" customHeight="1" x14ac:dyDescent="0.25">
      <c r="B8" s="62" t="s">
        <v>155</v>
      </c>
      <c r="C8" s="62"/>
      <c r="D8" s="62"/>
      <c r="E8" s="62"/>
      <c r="F8" s="62"/>
      <c r="G8" s="62"/>
      <c r="H8" s="62"/>
      <c r="I8" s="62"/>
      <c r="J8" s="62"/>
      <c r="K8" s="62"/>
      <c r="L8" s="62"/>
      <c r="M8" s="62"/>
      <c r="N8" s="62"/>
      <c r="O8" s="62"/>
      <c r="P8" s="62"/>
    </row>
    <row r="9" spans="2:19" ht="33.75" customHeight="1" x14ac:dyDescent="0.25">
      <c r="B9" s="62" t="s">
        <v>156</v>
      </c>
      <c r="C9" s="62"/>
      <c r="D9" s="62"/>
      <c r="E9" s="62"/>
      <c r="F9" s="62"/>
      <c r="G9" s="62"/>
      <c r="H9" s="62"/>
      <c r="I9" s="62"/>
      <c r="J9" s="62"/>
      <c r="K9" s="62"/>
      <c r="L9" s="62"/>
      <c r="M9" s="62"/>
      <c r="N9" s="62"/>
      <c r="O9" s="62"/>
      <c r="P9" s="62"/>
    </row>
    <row r="11" spans="2:19" x14ac:dyDescent="0.25">
      <c r="B11" s="10" t="s">
        <v>114</v>
      </c>
    </row>
    <row r="12" spans="2:19" x14ac:dyDescent="0.25">
      <c r="B12" t="s">
        <v>115</v>
      </c>
    </row>
    <row r="13" spans="2:19" x14ac:dyDescent="0.25">
      <c r="B13" t="s">
        <v>116</v>
      </c>
    </row>
    <row r="14" spans="2:19" ht="30.75" customHeight="1" x14ac:dyDescent="0.25">
      <c r="B14" s="62" t="s">
        <v>117</v>
      </c>
      <c r="C14" s="62"/>
      <c r="D14" s="62"/>
      <c r="E14" s="62"/>
      <c r="F14" s="62"/>
      <c r="G14" s="62"/>
      <c r="H14" s="62"/>
      <c r="I14" s="62"/>
      <c r="J14" s="62"/>
      <c r="K14" s="62"/>
      <c r="L14" s="62"/>
      <c r="M14" s="62"/>
      <c r="N14" s="62"/>
      <c r="O14" s="62"/>
      <c r="P14" s="62"/>
    </row>
    <row r="16" spans="2:19" ht="78.75" customHeight="1" x14ac:dyDescent="0.25">
      <c r="B16" s="64" t="s">
        <v>157</v>
      </c>
      <c r="C16" s="64"/>
      <c r="D16" s="64"/>
      <c r="E16" s="64"/>
      <c r="F16" s="64"/>
      <c r="G16" s="64"/>
      <c r="H16" s="64"/>
      <c r="I16" s="64"/>
      <c r="J16" s="64"/>
      <c r="K16" s="64"/>
      <c r="L16" s="64"/>
      <c r="M16" s="64"/>
      <c r="N16" s="64"/>
      <c r="O16" s="64"/>
      <c r="P16" s="64"/>
      <c r="Q16" s="44"/>
      <c r="R16" s="44"/>
      <c r="S16" s="44"/>
    </row>
    <row r="18" spans="2:16" x14ac:dyDescent="0.25">
      <c r="B18" s="10" t="s">
        <v>158</v>
      </c>
    </row>
    <row r="19" spans="2:16" x14ac:dyDescent="0.25">
      <c r="B19" t="s">
        <v>160</v>
      </c>
    </row>
    <row r="20" spans="2:16" x14ac:dyDescent="0.25">
      <c r="B20" t="s">
        <v>159</v>
      </c>
    </row>
    <row r="22" spans="2:16" x14ac:dyDescent="0.25">
      <c r="B22" s="52" t="s">
        <v>161</v>
      </c>
      <c r="C22" s="15"/>
      <c r="D22" s="15"/>
      <c r="E22" s="15"/>
    </row>
    <row r="24" spans="2:16" x14ac:dyDescent="0.25">
      <c r="B24" s="10" t="s">
        <v>118</v>
      </c>
      <c r="C24" s="10" t="s">
        <v>119</v>
      </c>
      <c r="N24" s="10" t="s">
        <v>120</v>
      </c>
      <c r="O24" s="10" t="s">
        <v>121</v>
      </c>
      <c r="P24" s="10" t="s">
        <v>122</v>
      </c>
    </row>
    <row r="25" spans="2:16" x14ac:dyDescent="0.25">
      <c r="B25" t="s">
        <v>123</v>
      </c>
      <c r="C25" s="46" t="s">
        <v>124</v>
      </c>
      <c r="N25">
        <v>1</v>
      </c>
      <c r="P25" s="5" t="s">
        <v>125</v>
      </c>
    </row>
    <row r="26" spans="2:16" x14ac:dyDescent="0.25">
      <c r="C26" t="s">
        <v>126</v>
      </c>
      <c r="N26" s="39">
        <v>5.5E-2</v>
      </c>
      <c r="P26" s="3">
        <f>N26*30</f>
        <v>1.65</v>
      </c>
    </row>
    <row r="27" spans="2:16" x14ac:dyDescent="0.25">
      <c r="B27" t="s">
        <v>123</v>
      </c>
      <c r="C27" t="s">
        <v>127</v>
      </c>
      <c r="N27">
        <v>0.25</v>
      </c>
      <c r="P27" s="3">
        <f>N27*30</f>
        <v>7.5</v>
      </c>
    </row>
    <row r="28" spans="2:16" x14ac:dyDescent="0.25">
      <c r="B28" t="s">
        <v>123</v>
      </c>
      <c r="C28" t="s">
        <v>128</v>
      </c>
      <c r="N28">
        <v>1</v>
      </c>
      <c r="P28" s="3">
        <f>N28*30</f>
        <v>30</v>
      </c>
    </row>
    <row r="29" spans="2:16" x14ac:dyDescent="0.25">
      <c r="P29" s="3"/>
    </row>
    <row r="30" spans="2:16" x14ac:dyDescent="0.25">
      <c r="B30" t="s">
        <v>129</v>
      </c>
      <c r="C30" t="s">
        <v>130</v>
      </c>
      <c r="N30">
        <v>8.5</v>
      </c>
      <c r="P30" s="3">
        <v>272.5</v>
      </c>
    </row>
    <row r="31" spans="2:16" x14ac:dyDescent="0.25">
      <c r="C31" t="s">
        <v>131</v>
      </c>
      <c r="O31">
        <v>165</v>
      </c>
      <c r="P31" s="3">
        <f>0.45*O31</f>
        <v>74.25</v>
      </c>
    </row>
    <row r="32" spans="2:16" x14ac:dyDescent="0.25">
      <c r="C32" t="s">
        <v>132</v>
      </c>
      <c r="P32" s="3">
        <v>15</v>
      </c>
    </row>
    <row r="33" spans="2:16" x14ac:dyDescent="0.25">
      <c r="C33" t="s">
        <v>133</v>
      </c>
      <c r="P33" s="5" t="s">
        <v>125</v>
      </c>
    </row>
    <row r="34" spans="2:16" x14ac:dyDescent="0.25">
      <c r="C34" t="s">
        <v>134</v>
      </c>
      <c r="N34" t="s">
        <v>135</v>
      </c>
      <c r="P34" s="5" t="s">
        <v>125</v>
      </c>
    </row>
    <row r="36" spans="2:16" x14ac:dyDescent="0.25">
      <c r="B36" t="s">
        <v>136</v>
      </c>
      <c r="C36" t="s">
        <v>137</v>
      </c>
      <c r="P36" s="5">
        <v>25</v>
      </c>
    </row>
    <row r="38" spans="2:16" x14ac:dyDescent="0.25">
      <c r="B38" t="s">
        <v>123</v>
      </c>
      <c r="C38" t="s">
        <v>138</v>
      </c>
      <c r="N38">
        <v>0.75</v>
      </c>
      <c r="P38" s="5">
        <f>N38*60</f>
        <v>45</v>
      </c>
    </row>
    <row r="39" spans="2:16" ht="33.75" customHeight="1" x14ac:dyDescent="0.25">
      <c r="C39" s="62" t="s">
        <v>153</v>
      </c>
      <c r="D39" s="62"/>
      <c r="E39" s="62"/>
      <c r="F39" s="62"/>
      <c r="G39" s="62"/>
      <c r="H39" s="62"/>
      <c r="I39" s="62"/>
      <c r="J39" s="62"/>
      <c r="K39" s="62"/>
      <c r="L39" s="62"/>
      <c r="M39" s="62"/>
      <c r="N39" s="51">
        <v>0.5</v>
      </c>
      <c r="O39" s="44"/>
      <c r="P39" s="5">
        <f>N39*30</f>
        <v>15</v>
      </c>
    </row>
    <row r="40" spans="2:16" ht="34.5" customHeight="1" x14ac:dyDescent="0.25">
      <c r="C40" s="62" t="s">
        <v>154</v>
      </c>
      <c r="D40" s="62"/>
      <c r="E40" s="62"/>
      <c r="F40" s="62"/>
      <c r="G40" s="62"/>
      <c r="H40" s="62"/>
      <c r="I40" s="62"/>
      <c r="J40" s="62"/>
      <c r="K40" s="62"/>
      <c r="L40" s="62"/>
      <c r="M40" s="62"/>
      <c r="N40" s="51">
        <v>0.5</v>
      </c>
      <c r="O40" s="44"/>
      <c r="P40" s="5">
        <f>N40*30</f>
        <v>15</v>
      </c>
    </row>
    <row r="41" spans="2:16" ht="15" customHeight="1" x14ac:dyDescent="0.25">
      <c r="C41" s="44"/>
      <c r="D41" s="44"/>
      <c r="E41" s="44"/>
      <c r="F41" s="44"/>
      <c r="G41" s="44"/>
      <c r="H41" s="44"/>
      <c r="I41" s="44"/>
      <c r="J41" s="44"/>
      <c r="K41" s="44"/>
      <c r="L41" s="44"/>
      <c r="M41" s="44"/>
      <c r="N41" s="51"/>
      <c r="O41" s="44"/>
      <c r="P41" s="5"/>
    </row>
    <row r="42" spans="2:16" x14ac:dyDescent="0.25">
      <c r="B42" s="10" t="s">
        <v>174</v>
      </c>
    </row>
    <row r="43" spans="2:16" x14ac:dyDescent="0.25">
      <c r="C43" s="10" t="s">
        <v>139</v>
      </c>
      <c r="P43" s="3">
        <f>P26+P27+P28+P30+P31+P32+P38+P39+P40</f>
        <v>475.9</v>
      </c>
    </row>
    <row r="44" spans="2:16" x14ac:dyDescent="0.25">
      <c r="C44" s="10" t="s">
        <v>162</v>
      </c>
      <c r="P44" s="47" t="s">
        <v>125</v>
      </c>
    </row>
    <row r="45" spans="2:16" ht="31.5" customHeight="1" x14ac:dyDescent="0.25">
      <c r="B45" t="s">
        <v>167</v>
      </c>
      <c r="C45" s="66" t="s">
        <v>152</v>
      </c>
      <c r="D45" s="62"/>
      <c r="E45" s="62"/>
      <c r="F45" s="62"/>
      <c r="G45" s="62"/>
      <c r="H45" s="62"/>
      <c r="I45" s="62"/>
      <c r="J45" s="62"/>
      <c r="K45" s="62"/>
      <c r="L45" s="62"/>
      <c r="M45" s="62"/>
      <c r="N45" s="62"/>
      <c r="O45" s="62"/>
      <c r="P45" s="47">
        <f>P36</f>
        <v>25</v>
      </c>
    </row>
    <row r="46" spans="2:16" ht="60.75" customHeight="1" x14ac:dyDescent="0.25">
      <c r="B46" t="s">
        <v>168</v>
      </c>
      <c r="C46" s="66" t="s">
        <v>163</v>
      </c>
      <c r="D46" s="62"/>
      <c r="E46" s="62"/>
      <c r="F46" s="62"/>
      <c r="G46" s="62"/>
      <c r="H46" s="62"/>
      <c r="I46" s="62"/>
      <c r="J46" s="62"/>
      <c r="K46" s="62"/>
      <c r="L46" s="62"/>
      <c r="M46" s="62"/>
      <c r="N46" s="62"/>
      <c r="O46" s="62"/>
      <c r="P46">
        <f>P36+39+68</f>
        <v>132</v>
      </c>
    </row>
    <row r="47" spans="2:16" ht="18" customHeight="1" x14ac:dyDescent="0.25">
      <c r="C47" s="32"/>
      <c r="D47" s="44"/>
      <c r="E47" s="44"/>
      <c r="F47" s="44"/>
      <c r="G47" s="44"/>
      <c r="H47" s="44"/>
      <c r="I47" s="44"/>
      <c r="J47" s="44"/>
      <c r="K47" s="44"/>
      <c r="L47" s="44"/>
      <c r="M47" s="44"/>
      <c r="N47" s="44"/>
      <c r="O47" s="44"/>
    </row>
    <row r="48" spans="2:16" x14ac:dyDescent="0.25">
      <c r="B48" s="10" t="s">
        <v>172</v>
      </c>
    </row>
    <row r="49" spans="1:17" x14ac:dyDescent="0.25">
      <c r="C49" s="48" t="s">
        <v>141</v>
      </c>
      <c r="P49" s="48">
        <f>P43*18</f>
        <v>8566.1999999999989</v>
      </c>
    </row>
    <row r="50" spans="1:17" x14ac:dyDescent="0.25">
      <c r="C50" s="48" t="s">
        <v>166</v>
      </c>
      <c r="P50" s="5" t="s">
        <v>125</v>
      </c>
    </row>
    <row r="51" spans="1:17" x14ac:dyDescent="0.25">
      <c r="B51" t="s">
        <v>167</v>
      </c>
      <c r="C51" s="48" t="s">
        <v>143</v>
      </c>
      <c r="P51" s="5">
        <f>P36*18</f>
        <v>450</v>
      </c>
    </row>
    <row r="52" spans="1:17" ht="33" customHeight="1" x14ac:dyDescent="0.25">
      <c r="B52" t="s">
        <v>168</v>
      </c>
      <c r="C52" s="66" t="s">
        <v>171</v>
      </c>
      <c r="D52" s="62"/>
      <c r="E52" s="62"/>
      <c r="F52" s="62"/>
      <c r="G52" s="62"/>
      <c r="H52" s="62"/>
      <c r="I52" s="62"/>
      <c r="J52" s="62"/>
      <c r="K52" s="62"/>
      <c r="L52" s="62"/>
      <c r="M52" s="62"/>
      <c r="N52" s="62"/>
      <c r="O52" s="62"/>
      <c r="P52" s="5">
        <f>(P45*18)+(P46*18)</f>
        <v>2826</v>
      </c>
    </row>
    <row r="53" spans="1:17" x14ac:dyDescent="0.25">
      <c r="C53" s="53" t="s">
        <v>169</v>
      </c>
      <c r="D53" s="6"/>
      <c r="E53" s="6"/>
      <c r="F53" s="6"/>
      <c r="G53" s="6"/>
      <c r="H53" s="6"/>
      <c r="I53" s="6"/>
      <c r="J53" s="6"/>
      <c r="K53" s="6"/>
      <c r="L53" s="6"/>
      <c r="M53" s="6"/>
      <c r="N53" s="6"/>
      <c r="O53" s="6"/>
      <c r="P53" s="53">
        <f>P49+P51</f>
        <v>9016.1999999999989</v>
      </c>
    </row>
    <row r="54" spans="1:17" x14ac:dyDescent="0.25">
      <c r="C54" s="54" t="s">
        <v>170</v>
      </c>
      <c r="D54" s="2"/>
      <c r="E54" s="2"/>
      <c r="F54" s="2"/>
      <c r="G54" s="2"/>
      <c r="H54" s="2"/>
      <c r="I54" s="2"/>
      <c r="J54" s="2"/>
      <c r="K54" s="2"/>
      <c r="L54" s="2"/>
      <c r="M54" s="2"/>
      <c r="N54" s="2"/>
      <c r="O54" s="2"/>
      <c r="P54" s="54">
        <f>P49+P52</f>
        <v>11392.199999999999</v>
      </c>
    </row>
    <row r="55" spans="1:17" x14ac:dyDescent="0.25">
      <c r="C55" s="55"/>
      <c r="D55" s="25"/>
      <c r="E55" s="25"/>
      <c r="F55" s="25"/>
      <c r="G55" s="25"/>
      <c r="H55" s="25"/>
      <c r="I55" s="25"/>
      <c r="J55" s="25"/>
      <c r="K55" s="25"/>
      <c r="L55" s="25"/>
      <c r="M55" s="25"/>
      <c r="N55" s="25"/>
      <c r="O55" s="25"/>
      <c r="P55" s="55"/>
    </row>
    <row r="56" spans="1:17" x14ac:dyDescent="0.25">
      <c r="C56" s="10"/>
      <c r="P56" s="10"/>
    </row>
    <row r="57" spans="1:17" x14ac:dyDescent="0.25">
      <c r="A57" s="34"/>
      <c r="B57" s="49" t="s">
        <v>108</v>
      </c>
      <c r="C57" s="49"/>
      <c r="D57" s="34"/>
      <c r="E57" s="49" t="s">
        <v>145</v>
      </c>
      <c r="F57" s="34"/>
      <c r="G57" s="34"/>
      <c r="H57" s="34"/>
      <c r="I57" s="34"/>
      <c r="J57" s="34"/>
      <c r="K57" s="34"/>
      <c r="L57" s="34"/>
      <c r="M57" s="34"/>
      <c r="N57" s="34"/>
      <c r="O57" s="34"/>
      <c r="P57" s="49"/>
      <c r="Q57" s="34"/>
    </row>
    <row r="59" spans="1:17" x14ac:dyDescent="0.25">
      <c r="B59" s="10" t="s">
        <v>177</v>
      </c>
    </row>
    <row r="60" spans="1:17" ht="33" customHeight="1" x14ac:dyDescent="0.25">
      <c r="B60" s="67" t="s">
        <v>176</v>
      </c>
      <c r="C60" s="62"/>
      <c r="D60" s="62"/>
      <c r="E60" s="62"/>
      <c r="F60" s="62"/>
      <c r="G60" s="62"/>
      <c r="H60" s="62"/>
      <c r="I60" s="62"/>
      <c r="J60" s="62"/>
      <c r="K60" s="62"/>
      <c r="L60" s="62"/>
      <c r="M60" s="62"/>
      <c r="N60" s="62"/>
      <c r="O60" s="62"/>
      <c r="P60" s="62"/>
      <c r="Q60" s="62"/>
    </row>
    <row r="61" spans="1:17" ht="33.75" customHeight="1" x14ac:dyDescent="0.25">
      <c r="B61" s="67" t="s">
        <v>178</v>
      </c>
      <c r="C61" s="62"/>
      <c r="D61" s="62"/>
      <c r="E61" s="62"/>
      <c r="F61" s="62"/>
      <c r="G61" s="62"/>
      <c r="H61" s="62"/>
      <c r="I61" s="62"/>
      <c r="J61" s="62"/>
      <c r="K61" s="62"/>
      <c r="L61" s="62"/>
      <c r="M61" s="62"/>
      <c r="N61" s="62"/>
      <c r="O61" s="62"/>
      <c r="P61" s="62"/>
      <c r="Q61" s="62"/>
    </row>
    <row r="62" spans="1:17" ht="32.25" customHeight="1" x14ac:dyDescent="0.25">
      <c r="B62" s="67" t="s">
        <v>179</v>
      </c>
      <c r="C62" s="62"/>
      <c r="D62" s="62"/>
      <c r="E62" s="62"/>
      <c r="F62" s="62"/>
      <c r="G62" s="62"/>
      <c r="H62" s="62"/>
      <c r="I62" s="62"/>
      <c r="J62" s="62"/>
      <c r="K62" s="62"/>
      <c r="L62" s="62"/>
      <c r="M62" s="62"/>
      <c r="N62" s="62"/>
      <c r="O62" s="62"/>
      <c r="P62" s="62"/>
      <c r="Q62" s="62"/>
    </row>
    <row r="63" spans="1:17" ht="33.75" customHeight="1" x14ac:dyDescent="0.25">
      <c r="B63" s="67" t="s">
        <v>150</v>
      </c>
      <c r="C63" s="62"/>
      <c r="D63" s="62"/>
      <c r="E63" s="62"/>
      <c r="F63" s="62"/>
      <c r="G63" s="62"/>
      <c r="H63" s="62"/>
      <c r="I63" s="62"/>
      <c r="J63" s="62"/>
      <c r="K63" s="62"/>
      <c r="L63" s="62"/>
      <c r="M63" s="62"/>
      <c r="N63" s="62"/>
      <c r="O63" s="62"/>
      <c r="P63" s="62"/>
      <c r="Q63" s="62"/>
    </row>
    <row r="64" spans="1:17" ht="20.25" customHeight="1" x14ac:dyDescent="0.25">
      <c r="B64" s="48" t="s">
        <v>147</v>
      </c>
      <c r="C64" s="10"/>
      <c r="E64" s="10"/>
      <c r="P64" s="10"/>
    </row>
    <row r="65" spans="2:16" x14ac:dyDescent="0.25">
      <c r="B65" s="10"/>
      <c r="C65" s="10"/>
      <c r="E65" s="10"/>
      <c r="P65" s="10"/>
    </row>
    <row r="66" spans="2:16" x14ac:dyDescent="0.25">
      <c r="B66" s="10" t="s">
        <v>146</v>
      </c>
    </row>
    <row r="67" spans="2:16" x14ac:dyDescent="0.25">
      <c r="B67" s="10"/>
    </row>
    <row r="68" spans="2:16" x14ac:dyDescent="0.25">
      <c r="B68" s="10" t="s">
        <v>118</v>
      </c>
      <c r="C68" s="10" t="s">
        <v>119</v>
      </c>
      <c r="N68" s="10" t="s">
        <v>120</v>
      </c>
      <c r="O68" s="10" t="s">
        <v>121</v>
      </c>
      <c r="P68" s="10" t="s">
        <v>122</v>
      </c>
    </row>
    <row r="70" spans="2:16" x14ac:dyDescent="0.25">
      <c r="B70" t="s">
        <v>129</v>
      </c>
      <c r="C70" t="s">
        <v>130</v>
      </c>
      <c r="N70">
        <v>8.5</v>
      </c>
      <c r="P70" s="3">
        <v>272.5</v>
      </c>
    </row>
    <row r="71" spans="2:16" x14ac:dyDescent="0.25">
      <c r="C71" t="s">
        <v>131</v>
      </c>
      <c r="O71">
        <v>165</v>
      </c>
      <c r="P71" s="3">
        <f>0.45*O71</f>
        <v>74.25</v>
      </c>
    </row>
    <row r="72" spans="2:16" x14ac:dyDescent="0.25">
      <c r="C72" t="s">
        <v>132</v>
      </c>
      <c r="P72" s="3">
        <v>15</v>
      </c>
    </row>
    <row r="73" spans="2:16" x14ac:dyDescent="0.25">
      <c r="C73" t="s">
        <v>133</v>
      </c>
      <c r="P73" s="5" t="s">
        <v>125</v>
      </c>
    </row>
    <row r="75" spans="2:16" x14ac:dyDescent="0.25">
      <c r="B75" t="s">
        <v>148</v>
      </c>
      <c r="C75" t="s">
        <v>149</v>
      </c>
      <c r="N75">
        <v>0.5</v>
      </c>
      <c r="P75" s="3">
        <f>N75*30</f>
        <v>15</v>
      </c>
    </row>
    <row r="76" spans="2:16" x14ac:dyDescent="0.25">
      <c r="P76" s="3"/>
    </row>
    <row r="77" spans="2:16" x14ac:dyDescent="0.25">
      <c r="B77" t="s">
        <v>136</v>
      </c>
      <c r="C77" t="s">
        <v>173</v>
      </c>
      <c r="N77">
        <v>0.5</v>
      </c>
      <c r="P77" s="47">
        <f>N77*30</f>
        <v>15</v>
      </c>
    </row>
    <row r="78" spans="2:16" x14ac:dyDescent="0.25">
      <c r="C78" t="s">
        <v>151</v>
      </c>
      <c r="P78" s="47">
        <v>25</v>
      </c>
    </row>
    <row r="79" spans="2:16" x14ac:dyDescent="0.25">
      <c r="P79" s="5"/>
    </row>
    <row r="80" spans="2:16" x14ac:dyDescent="0.25">
      <c r="B80" s="10" t="s">
        <v>174</v>
      </c>
    </row>
    <row r="81" spans="2:16" x14ac:dyDescent="0.25">
      <c r="C81" s="48" t="s">
        <v>139</v>
      </c>
      <c r="P81" s="5" t="s">
        <v>125</v>
      </c>
    </row>
    <row r="82" spans="2:16" x14ac:dyDescent="0.25">
      <c r="C82" s="48" t="s">
        <v>140</v>
      </c>
      <c r="P82" s="5" t="s">
        <v>125</v>
      </c>
    </row>
    <row r="83" spans="2:16" x14ac:dyDescent="0.25">
      <c r="C83" s="48" t="s">
        <v>175</v>
      </c>
      <c r="P83" s="3">
        <f>SUM(P70:P82)</f>
        <v>416.75</v>
      </c>
    </row>
    <row r="84" spans="2:16" x14ac:dyDescent="0.25">
      <c r="C84" s="48"/>
      <c r="P84" s="3"/>
    </row>
    <row r="85" spans="2:16" x14ac:dyDescent="0.25">
      <c r="B85" s="10" t="s">
        <v>196</v>
      </c>
      <c r="C85" s="10"/>
    </row>
    <row r="86" spans="2:16" ht="16.5" customHeight="1" x14ac:dyDescent="0.25">
      <c r="B86" s="67" t="s">
        <v>190</v>
      </c>
      <c r="C86" s="67"/>
      <c r="D86" s="67"/>
      <c r="E86" s="67"/>
      <c r="F86" s="67"/>
      <c r="G86" s="67"/>
      <c r="H86" s="67"/>
      <c r="I86" s="67"/>
      <c r="J86" s="67"/>
      <c r="K86" s="67"/>
      <c r="L86" s="67"/>
      <c r="M86" s="67"/>
      <c r="N86" s="67"/>
      <c r="O86" s="67"/>
      <c r="P86" s="67"/>
    </row>
    <row r="87" spans="2:16" ht="16.5" customHeight="1" x14ac:dyDescent="0.25">
      <c r="B87" s="56"/>
      <c r="C87" s="56"/>
      <c r="D87" s="56"/>
      <c r="E87" s="56"/>
      <c r="F87" s="56"/>
      <c r="G87" s="56"/>
      <c r="H87" s="56"/>
      <c r="I87" s="56"/>
      <c r="J87" s="56"/>
      <c r="K87" s="56"/>
      <c r="L87" s="56"/>
      <c r="M87" s="56"/>
      <c r="N87" s="56"/>
      <c r="O87" s="56"/>
      <c r="P87" s="10" t="s">
        <v>122</v>
      </c>
    </row>
    <row r="88" spans="2:16" ht="15" customHeight="1" x14ac:dyDescent="0.25">
      <c r="C88" s="48" t="s">
        <v>141</v>
      </c>
      <c r="P88" s="5" t="s">
        <v>125</v>
      </c>
    </row>
    <row r="89" spans="2:16" ht="15" customHeight="1" x14ac:dyDescent="0.25">
      <c r="C89" s="48" t="s">
        <v>142</v>
      </c>
      <c r="P89" s="5" t="s">
        <v>125</v>
      </c>
    </row>
    <row r="90" spans="2:16" ht="15" customHeight="1" x14ac:dyDescent="0.25">
      <c r="C90" s="48" t="s">
        <v>183</v>
      </c>
      <c r="P90" s="47">
        <f>$P$83*4</f>
        <v>1667</v>
      </c>
    </row>
    <row r="91" spans="2:16" x14ac:dyDescent="0.25">
      <c r="C91" s="48" t="s">
        <v>181</v>
      </c>
      <c r="P91" s="47">
        <f t="shared" ref="P91:P92" si="0">$P$83*4</f>
        <v>1667</v>
      </c>
    </row>
    <row r="92" spans="2:16" x14ac:dyDescent="0.25">
      <c r="C92" s="48" t="s">
        <v>184</v>
      </c>
      <c r="P92" s="47">
        <f t="shared" si="0"/>
        <v>1667</v>
      </c>
    </row>
    <row r="93" spans="2:16" x14ac:dyDescent="0.25">
      <c r="C93" s="10" t="s">
        <v>144</v>
      </c>
      <c r="P93" s="57">
        <f>P90+P91+P92</f>
        <v>5001</v>
      </c>
    </row>
    <row r="94" spans="2:16" x14ac:dyDescent="0.25">
      <c r="C94" s="48"/>
      <c r="P94" s="3"/>
    </row>
    <row r="95" spans="2:16" x14ac:dyDescent="0.25">
      <c r="C95" s="10"/>
    </row>
    <row r="96" spans="2:16" x14ac:dyDescent="0.25">
      <c r="B96" s="10" t="s">
        <v>197</v>
      </c>
      <c r="C96" s="10"/>
    </row>
    <row r="97" spans="2:16" ht="17.25" customHeight="1" x14ac:dyDescent="0.25">
      <c r="B97" s="67" t="s">
        <v>190</v>
      </c>
      <c r="C97" s="67"/>
      <c r="D97" s="67"/>
      <c r="E97" s="67"/>
      <c r="F97" s="67"/>
      <c r="G97" s="67"/>
      <c r="H97" s="67"/>
      <c r="I97" s="67"/>
      <c r="J97" s="67"/>
      <c r="K97" s="67"/>
      <c r="L97" s="67"/>
      <c r="M97" s="67"/>
      <c r="N97" s="67"/>
      <c r="O97" s="67"/>
      <c r="P97" s="67"/>
    </row>
    <row r="98" spans="2:16" ht="17.25" customHeight="1" x14ac:dyDescent="0.25">
      <c r="B98" s="56"/>
      <c r="C98" s="56"/>
      <c r="D98" s="56"/>
      <c r="E98" s="56"/>
      <c r="F98" s="56"/>
      <c r="G98" s="56"/>
      <c r="H98" s="56"/>
      <c r="I98" s="56"/>
      <c r="J98" s="56"/>
      <c r="K98" s="56"/>
      <c r="L98" s="56"/>
      <c r="M98" s="56"/>
      <c r="N98" s="56"/>
      <c r="O98" s="56"/>
      <c r="P98" s="10" t="s">
        <v>122</v>
      </c>
    </row>
    <row r="99" spans="2:16" x14ac:dyDescent="0.25">
      <c r="C99" s="48" t="s">
        <v>141</v>
      </c>
      <c r="P99" s="5" t="s">
        <v>125</v>
      </c>
    </row>
    <row r="100" spans="2:16" x14ac:dyDescent="0.25">
      <c r="C100" s="48" t="s">
        <v>142</v>
      </c>
      <c r="P100" s="5" t="s">
        <v>125</v>
      </c>
    </row>
    <row r="101" spans="2:16" x14ac:dyDescent="0.25">
      <c r="C101" s="48" t="s">
        <v>180</v>
      </c>
      <c r="P101" s="47">
        <f>P83*4</f>
        <v>1667</v>
      </c>
    </row>
    <row r="102" spans="2:16" x14ac:dyDescent="0.25">
      <c r="C102" s="48" t="s">
        <v>181</v>
      </c>
      <c r="P102" s="47">
        <f>P83*10</f>
        <v>4167.5</v>
      </c>
    </row>
    <row r="103" spans="2:16" ht="15.75" customHeight="1" x14ac:dyDescent="0.25">
      <c r="C103" s="48" t="s">
        <v>182</v>
      </c>
      <c r="P103" s="47">
        <f>P83*6</f>
        <v>2500.5</v>
      </c>
    </row>
    <row r="104" spans="2:16" x14ac:dyDescent="0.25">
      <c r="C104" s="10" t="s">
        <v>144</v>
      </c>
      <c r="P104" s="58">
        <f>P101+P102+P103</f>
        <v>8335</v>
      </c>
    </row>
    <row r="106" spans="2:16" ht="48.75" customHeight="1" x14ac:dyDescent="0.25">
      <c r="B106" s="64" t="s">
        <v>186</v>
      </c>
      <c r="C106" s="64"/>
      <c r="D106" s="64"/>
      <c r="E106" s="64"/>
      <c r="F106" s="64"/>
      <c r="G106" s="64"/>
      <c r="H106" s="64"/>
      <c r="I106" s="64"/>
      <c r="J106" s="64"/>
      <c r="K106" s="64"/>
      <c r="L106" s="64"/>
      <c r="M106" s="64"/>
      <c r="N106" s="64"/>
      <c r="O106" s="64"/>
      <c r="P106" s="64"/>
    </row>
    <row r="107" spans="2:16" x14ac:dyDescent="0.25">
      <c r="C107" s="48"/>
    </row>
    <row r="108" spans="2:16" x14ac:dyDescent="0.25">
      <c r="B108" t="s">
        <v>185</v>
      </c>
      <c r="C108" s="48"/>
      <c r="E108">
        <v>43</v>
      </c>
      <c r="F108" t="s">
        <v>191</v>
      </c>
      <c r="G108" t="s">
        <v>187</v>
      </c>
      <c r="J108" s="62" t="s">
        <v>194</v>
      </c>
      <c r="K108" s="62"/>
      <c r="L108" s="62"/>
      <c r="M108" s="62"/>
      <c r="N108" s="62"/>
      <c r="O108" s="62"/>
      <c r="P108" s="62"/>
    </row>
    <row r="109" spans="2:16" x14ac:dyDescent="0.25">
      <c r="C109" s="48"/>
      <c r="E109">
        <v>110</v>
      </c>
      <c r="F109" t="s">
        <v>191</v>
      </c>
      <c r="G109" t="s">
        <v>188</v>
      </c>
      <c r="J109" s="62"/>
      <c r="K109" s="62"/>
      <c r="L109" s="62"/>
      <c r="M109" s="62"/>
      <c r="N109" s="62"/>
      <c r="O109" s="62"/>
      <c r="P109" s="62"/>
    </row>
    <row r="110" spans="2:16" x14ac:dyDescent="0.25">
      <c r="C110" s="48"/>
      <c r="E110">
        <v>15</v>
      </c>
      <c r="F110" t="s">
        <v>191</v>
      </c>
      <c r="G110" t="s">
        <v>189</v>
      </c>
      <c r="J110" s="62"/>
      <c r="K110" s="62"/>
      <c r="L110" s="62"/>
      <c r="M110" s="62"/>
      <c r="N110" s="62"/>
      <c r="O110" s="62"/>
      <c r="P110" s="62"/>
    </row>
    <row r="111" spans="2:16" x14ac:dyDescent="0.25">
      <c r="B111" s="10" t="s">
        <v>195</v>
      </c>
      <c r="C111" s="10"/>
      <c r="P111" s="10" t="s">
        <v>122</v>
      </c>
    </row>
    <row r="112" spans="2:16" x14ac:dyDescent="0.25">
      <c r="C112" s="48" t="s">
        <v>141</v>
      </c>
      <c r="P112" s="5" t="s">
        <v>125</v>
      </c>
    </row>
    <row r="113" spans="2:16" x14ac:dyDescent="0.25">
      <c r="C113" s="48" t="s">
        <v>142</v>
      </c>
      <c r="P113" s="5" t="s">
        <v>125</v>
      </c>
    </row>
    <row r="114" spans="2:16" x14ac:dyDescent="0.25">
      <c r="C114" s="48" t="s">
        <v>180</v>
      </c>
      <c r="P114" s="47">
        <f>P83*E108</f>
        <v>17920.25</v>
      </c>
    </row>
    <row r="115" spans="2:16" x14ac:dyDescent="0.25">
      <c r="C115" s="48" t="s">
        <v>181</v>
      </c>
      <c r="P115" s="47">
        <f>P83*E109</f>
        <v>45842.5</v>
      </c>
    </row>
    <row r="116" spans="2:16" x14ac:dyDescent="0.25">
      <c r="C116" s="48" t="s">
        <v>182</v>
      </c>
      <c r="P116" s="47">
        <f>P83*E110</f>
        <v>6251.25</v>
      </c>
    </row>
    <row r="117" spans="2:16" x14ac:dyDescent="0.25">
      <c r="C117" s="10" t="s">
        <v>144</v>
      </c>
      <c r="P117" s="58">
        <f>P114+P115+P116</f>
        <v>70014</v>
      </c>
    </row>
    <row r="119" spans="2:16" ht="30.75" customHeight="1" x14ac:dyDescent="0.25">
      <c r="C119" s="59" t="s">
        <v>193</v>
      </c>
      <c r="D119" s="59"/>
      <c r="E119" s="59"/>
      <c r="F119" s="60">
        <f>P117/P54</f>
        <v>6.1457839574445678</v>
      </c>
      <c r="G119" s="68" t="s">
        <v>192</v>
      </c>
      <c r="H119" s="68"/>
      <c r="I119" s="68"/>
      <c r="J119" s="68"/>
      <c r="K119" s="68"/>
      <c r="L119" s="68"/>
      <c r="M119" s="68"/>
      <c r="N119" s="68"/>
      <c r="O119" s="68"/>
      <c r="P119" s="68"/>
    </row>
    <row r="121" spans="2:16" ht="34.5" customHeight="1" x14ac:dyDescent="0.25">
      <c r="B121" s="62" t="s">
        <v>198</v>
      </c>
      <c r="C121" s="62"/>
      <c r="D121" s="62"/>
      <c r="E121" s="62"/>
      <c r="F121" s="62"/>
      <c r="G121" s="62"/>
      <c r="H121" s="62"/>
      <c r="I121" s="62"/>
      <c r="J121" s="62"/>
      <c r="K121" s="62"/>
      <c r="L121" s="62"/>
      <c r="M121" s="62"/>
      <c r="N121" s="62"/>
      <c r="O121" s="62"/>
      <c r="P121" s="62"/>
    </row>
  </sheetData>
  <mergeCells count="21">
    <mergeCell ref="B6:P6"/>
    <mergeCell ref="B7:P7"/>
    <mergeCell ref="B8:P8"/>
    <mergeCell ref="B9:P9"/>
    <mergeCell ref="B16:P16"/>
    <mergeCell ref="B14:P14"/>
    <mergeCell ref="C45:O45"/>
    <mergeCell ref="C46:O46"/>
    <mergeCell ref="C39:M39"/>
    <mergeCell ref="C40:M40"/>
    <mergeCell ref="B121:P121"/>
    <mergeCell ref="C52:O52"/>
    <mergeCell ref="B60:Q60"/>
    <mergeCell ref="B61:Q61"/>
    <mergeCell ref="B62:Q62"/>
    <mergeCell ref="B63:Q63"/>
    <mergeCell ref="B97:P97"/>
    <mergeCell ref="B86:P86"/>
    <mergeCell ref="B106:P106"/>
    <mergeCell ref="G119:P119"/>
    <mergeCell ref="J108:P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6k input tpa</vt:lpstr>
      <vt:lpstr>25k input tpa</vt:lpstr>
      <vt:lpstr>50k input tpa</vt:lpstr>
      <vt:lpstr>Independent sampling</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Nichols</dc:creator>
  <cp:lastModifiedBy>Emily Nichols</cp:lastModifiedBy>
  <dcterms:created xsi:type="dcterms:W3CDTF">2012-10-30T09:45:16Z</dcterms:created>
  <dcterms:modified xsi:type="dcterms:W3CDTF">2013-01-22T13:07:08Z</dcterms:modified>
</cp:coreProperties>
</file>